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5200" windowHeight="11160" tabRatio="624"/>
  </bookViews>
  <sheets>
    <sheet name="Readme" sheetId="13" r:id="rId1"/>
    <sheet name="Assumptions" sheetId="8" r:id="rId2"/>
    <sheet name="Timing calculations" sheetId="6" r:id="rId3"/>
    <sheet name="Detailed Results" sheetId="11" r:id="rId4"/>
    <sheet name="Results Table" sheetId="12" r:id="rId5"/>
  </sheets>
  <definedNames>
    <definedName name="DiscountRate">Assumptions!$C$5:$E$5</definedName>
    <definedName name="EvaluationPeriod">Assumptions!$C$6:$E$6</definedName>
    <definedName name="_xlnm.Print_Area" localSheetId="3">'Detailed Results'!$A$7:$J$67</definedName>
    <definedName name="results">'Detailed Results'!$C$10:$C$57</definedName>
    <definedName name="scenarios">Assumptions!$C$3:$F$3</definedName>
    <definedName name="solver_adj" localSheetId="1" hidden="1">Assumptions!$A$80</definedName>
    <definedName name="solver_cvg" localSheetId="1" hidden="1">0.0001</definedName>
    <definedName name="solver_drv" localSheetId="1" hidden="1">1</definedName>
    <definedName name="solver_eng" localSheetId="1" hidden="1">1</definedName>
    <definedName name="solver_est" localSheetId="1" hidden="1">1</definedName>
    <definedName name="solver_itr" localSheetId="1" hidden="1">2147483647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1</definedName>
    <definedName name="solver_nod" localSheetId="1" hidden="1">2147483647</definedName>
    <definedName name="solver_num" localSheetId="1" hidden="1">0</definedName>
    <definedName name="solver_nwt" localSheetId="1" hidden="1">1</definedName>
    <definedName name="solver_opt" localSheetId="1" hidden="1">Assumptions!$F$21</definedName>
    <definedName name="solver_pre" localSheetId="1" hidden="1">0.000001</definedName>
    <definedName name="solver_rbv" localSheetId="1" hidden="1">1</definedName>
    <definedName name="solver_rlx" localSheetId="1" hidden="1">2</definedName>
    <definedName name="solver_rsd" localSheetId="1" hidden="1">0</definedName>
    <definedName name="solver_scl" localSheetId="1" hidden="1">1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ol" localSheetId="1" hidden="1">0.01</definedName>
    <definedName name="solver_typ" localSheetId="1" hidden="1">3</definedName>
    <definedName name="solver_val" localSheetId="1" hidden="1">0</definedName>
    <definedName name="solver_ver" localSheetId="1" hidden="1">3</definedName>
    <definedName name="YearsToImplement">Assumptions!$C$8:$E$8</definedName>
  </definedNames>
  <calcPr calcId="145621"/>
  <fileRecoveryPr autoRecover="0"/>
</workbook>
</file>

<file path=xl/calcChain.xml><?xml version="1.0" encoding="utf-8"?>
<calcChain xmlns="http://schemas.openxmlformats.org/spreadsheetml/2006/main">
  <c r="C20" i="12" l="1"/>
  <c r="D94" i="6" l="1"/>
  <c r="D88" i="6"/>
  <c r="D87" i="6"/>
  <c r="D86" i="6"/>
  <c r="D78" i="6"/>
  <c r="D77" i="6"/>
  <c r="D76" i="6"/>
  <c r="D75" i="6"/>
  <c r="D74" i="6"/>
  <c r="D73" i="6"/>
  <c r="D72" i="6"/>
  <c r="D67" i="6"/>
  <c r="D66" i="6"/>
  <c r="D65" i="6"/>
  <c r="D59" i="6"/>
  <c r="D58" i="6"/>
  <c r="D46" i="6"/>
  <c r="D45" i="6"/>
  <c r="D44" i="6"/>
  <c r="D43" i="6"/>
  <c r="D30" i="6"/>
  <c r="D29" i="6"/>
  <c r="D28" i="6"/>
  <c r="D27" i="6"/>
  <c r="D26" i="6"/>
  <c r="D25" i="6"/>
  <c r="D24" i="6"/>
  <c r="D23" i="6"/>
  <c r="H16" i="6"/>
  <c r="G16" i="6"/>
  <c r="H15" i="6"/>
  <c r="G15" i="6"/>
  <c r="H14" i="6"/>
  <c r="G14" i="6"/>
  <c r="H13" i="6"/>
  <c r="G13" i="6"/>
  <c r="H12" i="6"/>
  <c r="G12" i="6"/>
  <c r="H11" i="6"/>
  <c r="G11" i="6"/>
  <c r="F16" i="6"/>
  <c r="F15" i="6"/>
  <c r="F14" i="6"/>
  <c r="F13" i="6"/>
  <c r="F12" i="6"/>
  <c r="F11" i="6"/>
  <c r="D7" i="6"/>
  <c r="F67" i="8"/>
  <c r="F66" i="8"/>
  <c r="F63" i="8"/>
  <c r="F62" i="8"/>
  <c r="F61" i="8"/>
  <c r="F60" i="8"/>
  <c r="F57" i="8"/>
  <c r="F56" i="8"/>
  <c r="F55" i="8"/>
  <c r="F54" i="8"/>
  <c r="F53" i="8"/>
  <c r="F52" i="8"/>
  <c r="F51" i="8"/>
  <c r="F50" i="8"/>
  <c r="F47" i="8"/>
  <c r="F46" i="8"/>
  <c r="F45" i="8"/>
  <c r="F44" i="8"/>
  <c r="F37" i="8"/>
  <c r="F36" i="8"/>
  <c r="F31" i="8"/>
  <c r="F28" i="8"/>
  <c r="F27" i="8"/>
  <c r="F26" i="8"/>
  <c r="F23" i="8"/>
  <c r="F22" i="8"/>
  <c r="F17" i="8"/>
  <c r="F16" i="8"/>
  <c r="F15" i="8"/>
  <c r="F14" i="8"/>
  <c r="F13" i="8"/>
  <c r="F12" i="8"/>
  <c r="F11" i="8"/>
  <c r="F9" i="8"/>
  <c r="F8" i="8"/>
  <c r="F7" i="8"/>
  <c r="F6" i="8"/>
  <c r="F5" i="8"/>
  <c r="H61" i="6" l="1"/>
  <c r="E15" i="12"/>
  <c r="D15" i="12"/>
  <c r="C15" i="12"/>
  <c r="E16" i="12" l="1"/>
  <c r="D16" i="12"/>
  <c r="E14" i="12"/>
  <c r="D14" i="12"/>
  <c r="E10" i="12"/>
  <c r="D10" i="12"/>
  <c r="E9" i="12"/>
  <c r="D9" i="12"/>
  <c r="E5" i="12"/>
  <c r="D5" i="12"/>
  <c r="E4" i="12"/>
  <c r="D4" i="12"/>
  <c r="E3" i="12"/>
  <c r="D3" i="12"/>
  <c r="H7" i="6"/>
  <c r="H8" i="6" s="1"/>
  <c r="C6" i="11"/>
  <c r="C10" i="12"/>
  <c r="C4" i="12"/>
  <c r="C9" i="12"/>
  <c r="C3" i="12"/>
  <c r="C16" i="12"/>
  <c r="C14" i="12"/>
  <c r="C17" i="12" s="1"/>
  <c r="C5" i="12"/>
  <c r="C21" i="11"/>
  <c r="E26" i="8"/>
  <c r="C26" i="8"/>
  <c r="D11" i="12" l="1"/>
  <c r="D17" i="12"/>
  <c r="E17" i="12"/>
  <c r="D6" i="12"/>
  <c r="D20" i="12" s="1"/>
  <c r="E11" i="12"/>
  <c r="E6" i="12"/>
  <c r="I7" i="6"/>
  <c r="C11" i="12"/>
  <c r="C6" i="12"/>
  <c r="C36" i="11"/>
  <c r="J7" i="6" l="1"/>
  <c r="I8" i="6"/>
  <c r="D19" i="12"/>
  <c r="K7" i="6" l="1"/>
  <c r="J8" i="6"/>
  <c r="K8" i="6" l="1"/>
  <c r="L7" i="6"/>
  <c r="L8" i="6" l="1"/>
  <c r="M7" i="6"/>
  <c r="M8" i="6" l="1"/>
  <c r="N7" i="6"/>
  <c r="N8" i="6" l="1"/>
  <c r="O7" i="6"/>
  <c r="O8" i="6" l="1"/>
  <c r="P7" i="6"/>
  <c r="P8" i="6" l="1"/>
  <c r="Q7" i="6"/>
  <c r="Q8" i="6" l="1"/>
  <c r="R7" i="6"/>
  <c r="R8" i="6" l="1"/>
  <c r="S7" i="6"/>
  <c r="S8" i="6" l="1"/>
  <c r="T7" i="6"/>
  <c r="T8" i="6" l="1"/>
  <c r="U7" i="6"/>
  <c r="U8" i="6" l="1"/>
  <c r="V7" i="6"/>
  <c r="V8" i="6" l="1"/>
  <c r="W7" i="6"/>
  <c r="W8" i="6" l="1"/>
  <c r="X7" i="6"/>
  <c r="X8" i="6" l="1"/>
  <c r="Y7" i="6"/>
  <c r="C7" i="8"/>
  <c r="E7" i="8"/>
  <c r="D9" i="8"/>
  <c r="Y8" i="6" l="1"/>
  <c r="Z7" i="6"/>
  <c r="Z8" i="6" s="1"/>
  <c r="D55" i="8"/>
  <c r="D54" i="8"/>
  <c r="E53" i="8"/>
  <c r="C53" i="8"/>
  <c r="D52" i="8"/>
  <c r="D51" i="8"/>
  <c r="C51" i="8" s="1"/>
  <c r="D50" i="8"/>
  <c r="E56" i="8"/>
  <c r="C56" i="8"/>
  <c r="D62" i="8"/>
  <c r="D61" i="8"/>
  <c r="E60" i="8"/>
  <c r="C60" i="8"/>
  <c r="D41" i="8"/>
  <c r="C41" i="8"/>
  <c r="E37" i="8"/>
  <c r="C37" i="8"/>
  <c r="E36" i="8"/>
  <c r="C27" i="8"/>
  <c r="E27" i="8"/>
  <c r="C28" i="8"/>
  <c r="E28" i="8"/>
  <c r="E23" i="8"/>
  <c r="C23" i="8"/>
  <c r="E55" i="8" l="1"/>
  <c r="E50" i="8"/>
  <c r="E51" i="8"/>
  <c r="C52" i="8"/>
  <c r="C50" i="8"/>
  <c r="E52" i="8"/>
  <c r="C55" i="8"/>
  <c r="C36" i="8"/>
  <c r="E15" i="8" l="1"/>
  <c r="E14" i="8"/>
  <c r="E11" i="8"/>
  <c r="C11" i="8"/>
  <c r="C14" i="8"/>
  <c r="C15" i="8"/>
  <c r="C8" i="8"/>
  <c r="C9" i="8" s="1"/>
  <c r="E8" i="8"/>
  <c r="E9" i="8" s="1"/>
  <c r="E6" i="8"/>
  <c r="C6" i="8"/>
  <c r="D12" i="8"/>
  <c r="D13" i="8" s="1"/>
  <c r="E13" i="8" s="1"/>
  <c r="F18" i="6"/>
  <c r="G18" i="6" s="1"/>
  <c r="H18" i="6" s="1"/>
  <c r="I18" i="6" s="1"/>
  <c r="J18" i="6" s="1"/>
  <c r="K18" i="6" s="1"/>
  <c r="L18" i="6" s="1"/>
  <c r="M18" i="6" s="1"/>
  <c r="N18" i="6" s="1"/>
  <c r="O18" i="6" s="1"/>
  <c r="P18" i="6" s="1"/>
  <c r="Q18" i="6" s="1"/>
  <c r="R18" i="6" s="1"/>
  <c r="S18" i="6" s="1"/>
  <c r="T18" i="6" s="1"/>
  <c r="U18" i="6" s="1"/>
  <c r="V18" i="6" s="1"/>
  <c r="W18" i="6" s="1"/>
  <c r="X18" i="6" s="1"/>
  <c r="Y18" i="6" s="1"/>
  <c r="Z18" i="6" s="1"/>
  <c r="C12" i="8" l="1"/>
  <c r="C13" i="8"/>
  <c r="E12" i="8"/>
  <c r="E17" i="8" l="1"/>
  <c r="D17" i="8"/>
  <c r="C17" i="8"/>
  <c r="F19" i="6" l="1"/>
  <c r="G19" i="6" s="1"/>
  <c r="H19" i="6" s="1"/>
  <c r="I19" i="6" s="1"/>
  <c r="J19" i="6" s="1"/>
  <c r="K19" i="6" s="1"/>
  <c r="L19" i="6" s="1"/>
  <c r="M19" i="6" s="1"/>
  <c r="N19" i="6" s="1"/>
  <c r="O19" i="6" s="1"/>
  <c r="P19" i="6" s="1"/>
  <c r="Q19" i="6" s="1"/>
  <c r="R19" i="6" s="1"/>
  <c r="S19" i="6" s="1"/>
  <c r="T19" i="6" s="1"/>
  <c r="U19" i="6" s="1"/>
  <c r="V19" i="6" s="1"/>
  <c r="W19" i="6" s="1"/>
  <c r="X19" i="6" s="1"/>
  <c r="Y19" i="6" s="1"/>
  <c r="Z19" i="6" s="1"/>
  <c r="G6" i="6" l="1"/>
  <c r="H6" i="6" l="1"/>
  <c r="H80" i="6" l="1"/>
  <c r="H68" i="6"/>
  <c r="I6" i="6"/>
  <c r="I16" i="6" l="1"/>
  <c r="I96" i="6" s="1"/>
  <c r="I14" i="6"/>
  <c r="I80" i="6" s="1"/>
  <c r="I12" i="6"/>
  <c r="I48" i="6" s="1"/>
  <c r="I52" i="6" s="1"/>
  <c r="I15" i="6"/>
  <c r="I90" i="6" s="1"/>
  <c r="I13" i="6"/>
  <c r="I68" i="6" s="1"/>
  <c r="I11" i="6"/>
  <c r="I61" i="6" s="1"/>
  <c r="H81" i="6"/>
  <c r="H82" i="6" s="1"/>
  <c r="H96" i="6"/>
  <c r="H90" i="6"/>
  <c r="H32" i="6"/>
  <c r="H33" i="6" s="1"/>
  <c r="H37" i="6" s="1"/>
  <c r="H48" i="6"/>
  <c r="H52" i="6" s="1"/>
  <c r="J6" i="6"/>
  <c r="J15" i="6" l="1"/>
  <c r="J90" i="6" s="1"/>
  <c r="J13" i="6"/>
  <c r="J68" i="6" s="1"/>
  <c r="J11" i="6"/>
  <c r="J61" i="6" s="1"/>
  <c r="J12" i="6"/>
  <c r="J48" i="6" s="1"/>
  <c r="J52" i="6" s="1"/>
  <c r="J16" i="6"/>
  <c r="J96" i="6" s="1"/>
  <c r="J14" i="6"/>
  <c r="J80" i="6" s="1"/>
  <c r="I32" i="6"/>
  <c r="I33" i="6" s="1"/>
  <c r="I37" i="6" s="1"/>
  <c r="I81" i="6"/>
  <c r="I82" i="6" s="1"/>
  <c r="H36" i="6"/>
  <c r="I51" i="6"/>
  <c r="I53" i="6" s="1"/>
  <c r="H51" i="6"/>
  <c r="H53" i="6" s="1"/>
  <c r="H49" i="6"/>
  <c r="H50" i="6" s="1"/>
  <c r="K6" i="6"/>
  <c r="K11" i="6" l="1"/>
  <c r="K61" i="6" s="1"/>
  <c r="K15" i="6"/>
  <c r="K90" i="6" s="1"/>
  <c r="K13" i="6"/>
  <c r="K68" i="6" s="1"/>
  <c r="K16" i="6"/>
  <c r="K96" i="6" s="1"/>
  <c r="K14" i="6"/>
  <c r="K80" i="6" s="1"/>
  <c r="K12" i="6"/>
  <c r="K48" i="6" s="1"/>
  <c r="K52" i="6" s="1"/>
  <c r="I36" i="6"/>
  <c r="I38" i="6" s="1"/>
  <c r="J32" i="6"/>
  <c r="J33" i="6" s="1"/>
  <c r="J37" i="6" s="1"/>
  <c r="J81" i="6"/>
  <c r="J82" i="6" s="1"/>
  <c r="J51" i="6"/>
  <c r="J53" i="6" s="1"/>
  <c r="H54" i="6"/>
  <c r="I49" i="6"/>
  <c r="I50" i="6" s="1"/>
  <c r="I34" i="6"/>
  <c r="I35" i="6" s="1"/>
  <c r="H34" i="6"/>
  <c r="J49" i="6"/>
  <c r="J50" i="6" s="1"/>
  <c r="L6" i="6"/>
  <c r="L13" i="6" l="1"/>
  <c r="L68" i="6" s="1"/>
  <c r="L11" i="6"/>
  <c r="L61" i="6" s="1"/>
  <c r="L15" i="6"/>
  <c r="L90" i="6" s="1"/>
  <c r="L16" i="6"/>
  <c r="L96" i="6" s="1"/>
  <c r="L14" i="6"/>
  <c r="L80" i="6" s="1"/>
  <c r="L12" i="6"/>
  <c r="L48" i="6" s="1"/>
  <c r="L52" i="6" s="1"/>
  <c r="J34" i="6"/>
  <c r="J35" i="6" s="1"/>
  <c r="J36" i="6"/>
  <c r="K32" i="6"/>
  <c r="K33" i="6" s="1"/>
  <c r="K37" i="6" s="1"/>
  <c r="K81" i="6"/>
  <c r="K82" i="6" s="1"/>
  <c r="K51" i="6"/>
  <c r="K53" i="6" s="1"/>
  <c r="H35" i="6"/>
  <c r="H38" i="6"/>
  <c r="I39" i="6"/>
  <c r="J54" i="6"/>
  <c r="M6" i="6"/>
  <c r="M15" i="6" l="1"/>
  <c r="M90" i="6" s="1"/>
  <c r="M13" i="6"/>
  <c r="M68" i="6" s="1"/>
  <c r="M11" i="6"/>
  <c r="M61" i="6" s="1"/>
  <c r="M16" i="6"/>
  <c r="M96" i="6" s="1"/>
  <c r="M14" i="6"/>
  <c r="M80" i="6" s="1"/>
  <c r="M12" i="6"/>
  <c r="M48" i="6" s="1"/>
  <c r="M52" i="6" s="1"/>
  <c r="K36" i="6"/>
  <c r="K38" i="6" s="1"/>
  <c r="L32" i="6"/>
  <c r="L33" i="6" s="1"/>
  <c r="L37" i="6" s="1"/>
  <c r="L81" i="6"/>
  <c r="L82" i="6" s="1"/>
  <c r="L51" i="6"/>
  <c r="L53" i="6" s="1"/>
  <c r="H39" i="6"/>
  <c r="K34" i="6"/>
  <c r="K35" i="6" s="1"/>
  <c r="J38" i="6"/>
  <c r="J39" i="6" s="1"/>
  <c r="K49" i="6"/>
  <c r="I54" i="6"/>
  <c r="N6" i="6"/>
  <c r="N11" i="6" l="1"/>
  <c r="N61" i="6" s="1"/>
  <c r="N16" i="6"/>
  <c r="N96" i="6" s="1"/>
  <c r="N14" i="6"/>
  <c r="N80" i="6" s="1"/>
  <c r="N12" i="6"/>
  <c r="N48" i="6" s="1"/>
  <c r="N52" i="6" s="1"/>
  <c r="N15" i="6"/>
  <c r="N90" i="6" s="1"/>
  <c r="N13" i="6"/>
  <c r="N68" i="6" s="1"/>
  <c r="L36" i="6"/>
  <c r="L34" i="6"/>
  <c r="L35" i="6" s="1"/>
  <c r="M32" i="6"/>
  <c r="M33" i="6" s="1"/>
  <c r="M37" i="6" s="1"/>
  <c r="M81" i="6"/>
  <c r="M82" i="6" s="1"/>
  <c r="M51" i="6"/>
  <c r="M53" i="6" s="1"/>
  <c r="K50" i="6"/>
  <c r="K54" i="6" s="1"/>
  <c r="K39" i="6"/>
  <c r="O6" i="6"/>
  <c r="O16" i="6" l="1"/>
  <c r="O96" i="6" s="1"/>
  <c r="O14" i="6"/>
  <c r="O80" i="6" s="1"/>
  <c r="O12" i="6"/>
  <c r="O48" i="6" s="1"/>
  <c r="O52" i="6" s="1"/>
  <c r="O15" i="6"/>
  <c r="O90" i="6" s="1"/>
  <c r="O13" i="6"/>
  <c r="O68" i="6" s="1"/>
  <c r="O11" i="6"/>
  <c r="O61" i="6" s="1"/>
  <c r="M36" i="6"/>
  <c r="M38" i="6" s="1"/>
  <c r="N32" i="6"/>
  <c r="N33" i="6" s="1"/>
  <c r="N37" i="6" s="1"/>
  <c r="N81" i="6"/>
  <c r="N82" i="6" s="1"/>
  <c r="N51" i="6"/>
  <c r="N53" i="6" s="1"/>
  <c r="L38" i="6"/>
  <c r="M34" i="6"/>
  <c r="M35" i="6" s="1"/>
  <c r="P6" i="6"/>
  <c r="P12" i="6" l="1"/>
  <c r="P48" i="6" s="1"/>
  <c r="P52" i="6" s="1"/>
  <c r="P16" i="6"/>
  <c r="P96" i="6" s="1"/>
  <c r="P14" i="6"/>
  <c r="P80" i="6" s="1"/>
  <c r="P15" i="6"/>
  <c r="P90" i="6" s="1"/>
  <c r="P13" i="6"/>
  <c r="P68" i="6" s="1"/>
  <c r="P11" i="6"/>
  <c r="P61" i="6" s="1"/>
  <c r="L39" i="6"/>
  <c r="N36" i="6"/>
  <c r="N38" i="6" s="1"/>
  <c r="O32" i="6"/>
  <c r="O33" i="6" s="1"/>
  <c r="O37" i="6" s="1"/>
  <c r="O81" i="6"/>
  <c r="O82" i="6" s="1"/>
  <c r="O51" i="6"/>
  <c r="O53" i="6" s="1"/>
  <c r="M39" i="6"/>
  <c r="N34" i="6"/>
  <c r="N35" i="6" s="1"/>
  <c r="Q6" i="6"/>
  <c r="Q16" i="6" l="1"/>
  <c r="Q96" i="6" s="1"/>
  <c r="Q14" i="6"/>
  <c r="Q80" i="6" s="1"/>
  <c r="Q12" i="6"/>
  <c r="Q48" i="6" s="1"/>
  <c r="Q52" i="6" s="1"/>
  <c r="Q15" i="6"/>
  <c r="Q90" i="6" s="1"/>
  <c r="Q13" i="6"/>
  <c r="Q68" i="6" s="1"/>
  <c r="Q11" i="6"/>
  <c r="Q61" i="6" s="1"/>
  <c r="O36" i="6"/>
  <c r="O38" i="6" s="1"/>
  <c r="P32" i="6"/>
  <c r="P33" i="6" s="1"/>
  <c r="P37" i="6" s="1"/>
  <c r="P81" i="6"/>
  <c r="P82" i="6" s="1"/>
  <c r="P51" i="6"/>
  <c r="P53" i="6" s="1"/>
  <c r="N39" i="6"/>
  <c r="O34" i="6"/>
  <c r="O35" i="6" s="1"/>
  <c r="R6" i="6"/>
  <c r="R15" i="6" l="1"/>
  <c r="R90" i="6" s="1"/>
  <c r="R13" i="6"/>
  <c r="R68" i="6" s="1"/>
  <c r="R11" i="6"/>
  <c r="R61" i="6" s="1"/>
  <c r="R16" i="6"/>
  <c r="R96" i="6" s="1"/>
  <c r="R14" i="6"/>
  <c r="R80" i="6" s="1"/>
  <c r="R12" i="6"/>
  <c r="R48" i="6" s="1"/>
  <c r="R52" i="6" s="1"/>
  <c r="P36" i="6"/>
  <c r="P38" i="6" s="1"/>
  <c r="Q32" i="6"/>
  <c r="Q33" i="6" s="1"/>
  <c r="Q37" i="6" s="1"/>
  <c r="Q81" i="6"/>
  <c r="Q82" i="6" s="1"/>
  <c r="Q51" i="6"/>
  <c r="Q53" i="6" s="1"/>
  <c r="P34" i="6"/>
  <c r="P35" i="6" s="1"/>
  <c r="O39" i="6"/>
  <c r="P49" i="6"/>
  <c r="P50" i="6" s="1"/>
  <c r="S6" i="6"/>
  <c r="S15" i="6" l="1"/>
  <c r="S90" i="6" s="1"/>
  <c r="S13" i="6"/>
  <c r="S68" i="6" s="1"/>
  <c r="S11" i="6"/>
  <c r="S61" i="6" s="1"/>
  <c r="S16" i="6"/>
  <c r="S96" i="6" s="1"/>
  <c r="S14" i="6"/>
  <c r="S80" i="6" s="1"/>
  <c r="S12" i="6"/>
  <c r="S48" i="6" s="1"/>
  <c r="S52" i="6" s="1"/>
  <c r="Q34" i="6"/>
  <c r="Q35" i="6" s="1"/>
  <c r="Q36" i="6"/>
  <c r="R32" i="6"/>
  <c r="R33" i="6" s="1"/>
  <c r="R37" i="6" s="1"/>
  <c r="R81" i="6"/>
  <c r="R82" i="6" s="1"/>
  <c r="R51" i="6"/>
  <c r="R53" i="6" s="1"/>
  <c r="P39" i="6"/>
  <c r="P54" i="6"/>
  <c r="Q49" i="6"/>
  <c r="Q50" i="6" s="1"/>
  <c r="T6" i="6"/>
  <c r="T13" i="6" l="1"/>
  <c r="T68" i="6" s="1"/>
  <c r="T11" i="6"/>
  <c r="T61" i="6" s="1"/>
  <c r="T15" i="6"/>
  <c r="T90" i="6" s="1"/>
  <c r="T16" i="6"/>
  <c r="T96" i="6" s="1"/>
  <c r="T14" i="6"/>
  <c r="T80" i="6" s="1"/>
  <c r="T12" i="6"/>
  <c r="T48" i="6" s="1"/>
  <c r="T52" i="6" s="1"/>
  <c r="R36" i="6"/>
  <c r="R38" i="6" s="1"/>
  <c r="S32" i="6"/>
  <c r="S33" i="6" s="1"/>
  <c r="S37" i="6" s="1"/>
  <c r="S81" i="6"/>
  <c r="S82" i="6" s="1"/>
  <c r="S51" i="6"/>
  <c r="S53" i="6" s="1"/>
  <c r="R34" i="6"/>
  <c r="R35" i="6" s="1"/>
  <c r="Q38" i="6"/>
  <c r="Q39" i="6" s="1"/>
  <c r="Q54" i="6"/>
  <c r="R49" i="6"/>
  <c r="R50" i="6" s="1"/>
  <c r="U6" i="6"/>
  <c r="U15" i="6" l="1"/>
  <c r="U90" i="6" s="1"/>
  <c r="U13" i="6"/>
  <c r="U68" i="6" s="1"/>
  <c r="U11" i="6"/>
  <c r="U61" i="6" s="1"/>
  <c r="U16" i="6"/>
  <c r="U96" i="6" s="1"/>
  <c r="U14" i="6"/>
  <c r="U80" i="6" s="1"/>
  <c r="U12" i="6"/>
  <c r="U48" i="6" s="1"/>
  <c r="U52" i="6" s="1"/>
  <c r="S34" i="6"/>
  <c r="S35" i="6" s="1"/>
  <c r="S36" i="6"/>
  <c r="T32" i="6"/>
  <c r="T33" i="6" s="1"/>
  <c r="T37" i="6" s="1"/>
  <c r="T81" i="6"/>
  <c r="T82" i="6" s="1"/>
  <c r="T51" i="6"/>
  <c r="T53" i="6" s="1"/>
  <c r="R39" i="6"/>
  <c r="R54" i="6"/>
  <c r="S49" i="6"/>
  <c r="S50" i="6" s="1"/>
  <c r="V6" i="6"/>
  <c r="V16" i="6" l="1"/>
  <c r="V96" i="6" s="1"/>
  <c r="V14" i="6"/>
  <c r="V80" i="6" s="1"/>
  <c r="V12" i="6"/>
  <c r="V48" i="6" s="1"/>
  <c r="V52" i="6" s="1"/>
  <c r="V15" i="6"/>
  <c r="V90" i="6" s="1"/>
  <c r="V13" i="6"/>
  <c r="V68" i="6" s="1"/>
  <c r="V11" i="6"/>
  <c r="V61" i="6" s="1"/>
  <c r="T34" i="6"/>
  <c r="T35" i="6" s="1"/>
  <c r="T36" i="6"/>
  <c r="U32" i="6"/>
  <c r="U33" i="6" s="1"/>
  <c r="U37" i="6" s="1"/>
  <c r="U81" i="6"/>
  <c r="U82" i="6" s="1"/>
  <c r="U51" i="6"/>
  <c r="U53" i="6" s="1"/>
  <c r="S38" i="6"/>
  <c r="S39" i="6" s="1"/>
  <c r="S54" i="6"/>
  <c r="T49" i="6"/>
  <c r="T50" i="6" s="1"/>
  <c r="W6" i="6"/>
  <c r="W16" i="6" l="1"/>
  <c r="W96" i="6" s="1"/>
  <c r="W14" i="6"/>
  <c r="W80" i="6" s="1"/>
  <c r="W12" i="6"/>
  <c r="W48" i="6" s="1"/>
  <c r="W52" i="6" s="1"/>
  <c r="W15" i="6"/>
  <c r="W90" i="6" s="1"/>
  <c r="W13" i="6"/>
  <c r="W68" i="6" s="1"/>
  <c r="W11" i="6"/>
  <c r="W61" i="6" s="1"/>
  <c r="U36" i="6"/>
  <c r="U38" i="6" s="1"/>
  <c r="V32" i="6"/>
  <c r="V33" i="6" s="1"/>
  <c r="V37" i="6" s="1"/>
  <c r="V81" i="6"/>
  <c r="V82" i="6" s="1"/>
  <c r="V51" i="6"/>
  <c r="V53" i="6" s="1"/>
  <c r="T38" i="6"/>
  <c r="T39" i="6" s="1"/>
  <c r="U34" i="6"/>
  <c r="U35" i="6" s="1"/>
  <c r="T54" i="6"/>
  <c r="U49" i="6"/>
  <c r="U50" i="6" s="1"/>
  <c r="X6" i="6"/>
  <c r="X12" i="6" l="1"/>
  <c r="X48" i="6" s="1"/>
  <c r="X52" i="6" s="1"/>
  <c r="X16" i="6"/>
  <c r="X14" i="6"/>
  <c r="X80" i="6" s="1"/>
  <c r="X15" i="6"/>
  <c r="X90" i="6" s="1"/>
  <c r="X13" i="6"/>
  <c r="X68" i="6" s="1"/>
  <c r="X11" i="6"/>
  <c r="X61" i="6" s="1"/>
  <c r="V36" i="6"/>
  <c r="V38" i="6" s="1"/>
  <c r="W32" i="6"/>
  <c r="W33" i="6" s="1"/>
  <c r="W37" i="6" s="1"/>
  <c r="W81" i="6"/>
  <c r="W82" i="6" s="1"/>
  <c r="W51" i="6"/>
  <c r="W53" i="6" s="1"/>
  <c r="U39" i="6"/>
  <c r="V34" i="6"/>
  <c r="V35" i="6" s="1"/>
  <c r="U54" i="6"/>
  <c r="V49" i="6"/>
  <c r="V50" i="6" s="1"/>
  <c r="Y6" i="6"/>
  <c r="Y16" i="6" l="1"/>
  <c r="Y96" i="6" s="1"/>
  <c r="Y14" i="6"/>
  <c r="Y80" i="6" s="1"/>
  <c r="Y12" i="6"/>
  <c r="Y48" i="6" s="1"/>
  <c r="Y52" i="6" s="1"/>
  <c r="Y15" i="6"/>
  <c r="Y90" i="6" s="1"/>
  <c r="Y13" i="6"/>
  <c r="Y68" i="6" s="1"/>
  <c r="Y11" i="6"/>
  <c r="Y61" i="6" s="1"/>
  <c r="W36" i="6"/>
  <c r="W38" i="6" s="1"/>
  <c r="X32" i="6"/>
  <c r="X33" i="6" s="1"/>
  <c r="X37" i="6" s="1"/>
  <c r="X81" i="6"/>
  <c r="X82" i="6" s="1"/>
  <c r="X96" i="6"/>
  <c r="X51" i="6"/>
  <c r="X53" i="6" s="1"/>
  <c r="V39" i="6"/>
  <c r="W34" i="6"/>
  <c r="W35" i="6" s="1"/>
  <c r="V54" i="6"/>
  <c r="W49" i="6"/>
  <c r="W50" i="6" s="1"/>
  <c r="Z6" i="6"/>
  <c r="Z15" i="6" l="1"/>
  <c r="Z90" i="6" s="1"/>
  <c r="Z13" i="6"/>
  <c r="Z68" i="6" s="1"/>
  <c r="C68" i="6" s="1"/>
  <c r="C48" i="11" s="1"/>
  <c r="Z11" i="6"/>
  <c r="Z61" i="6" s="1"/>
  <c r="Z16" i="6"/>
  <c r="Z96" i="6" s="1"/>
  <c r="C96" i="6" s="1"/>
  <c r="Z14" i="6"/>
  <c r="Z80" i="6" s="1"/>
  <c r="C80" i="6" s="1"/>
  <c r="Z12" i="6"/>
  <c r="Z48" i="6" s="1"/>
  <c r="Z52" i="6" s="1"/>
  <c r="X36" i="6"/>
  <c r="X38" i="6" s="1"/>
  <c r="Y32" i="6"/>
  <c r="Y33" i="6" s="1"/>
  <c r="Y37" i="6" s="1"/>
  <c r="Y81" i="6"/>
  <c r="Y82" i="6" s="1"/>
  <c r="Y51" i="6"/>
  <c r="Y53" i="6" s="1"/>
  <c r="X34" i="6"/>
  <c r="X35" i="6" s="1"/>
  <c r="W39" i="6"/>
  <c r="W54" i="6"/>
  <c r="X49" i="6"/>
  <c r="X50" i="6" s="1"/>
  <c r="C57" i="11" l="1"/>
  <c r="D18" i="6"/>
  <c r="C43" i="11" s="1"/>
  <c r="D19" i="6"/>
  <c r="Y36" i="6"/>
  <c r="Y38" i="6" s="1"/>
  <c r="Z32" i="6"/>
  <c r="Z33" i="6" s="1"/>
  <c r="Z37" i="6" s="1"/>
  <c r="Z81" i="6"/>
  <c r="C81" i="6" s="1"/>
  <c r="C90" i="6"/>
  <c r="Z51" i="6"/>
  <c r="Z53" i="6" s="1"/>
  <c r="D48" i="6"/>
  <c r="C34" i="11" s="1"/>
  <c r="X39" i="6"/>
  <c r="Y34" i="6"/>
  <c r="Y35" i="6" s="1"/>
  <c r="X54" i="6"/>
  <c r="Y49" i="6"/>
  <c r="Y50" i="6" s="1"/>
  <c r="C54" i="11" l="1"/>
  <c r="C35" i="11"/>
  <c r="C33" i="11"/>
  <c r="D32" i="6"/>
  <c r="Z82" i="6"/>
  <c r="D82" i="6" s="1"/>
  <c r="Z34" i="6"/>
  <c r="Z35" i="6" s="1"/>
  <c r="C35" i="6" s="1"/>
  <c r="C10" i="11" s="1"/>
  <c r="Z36" i="6"/>
  <c r="D53" i="6"/>
  <c r="C37" i="11" s="1"/>
  <c r="C53" i="6"/>
  <c r="C28" i="11" s="1"/>
  <c r="Y39" i="6"/>
  <c r="D33" i="6"/>
  <c r="C17" i="11" s="1"/>
  <c r="C61" i="6"/>
  <c r="Y54" i="6"/>
  <c r="Z49" i="6"/>
  <c r="Z50" i="6" s="1"/>
  <c r="C51" i="11" l="1"/>
  <c r="C40" i="11"/>
  <c r="C20" i="11"/>
  <c r="C19" i="11"/>
  <c r="C16" i="11"/>
  <c r="Z38" i="6"/>
  <c r="C38" i="6" s="1"/>
  <c r="C11" i="11" s="1"/>
  <c r="C13" i="11" s="1"/>
  <c r="Z54" i="6"/>
  <c r="C18" i="11" l="1"/>
  <c r="Z39" i="6"/>
  <c r="D39" i="6" s="1"/>
  <c r="D38" i="6"/>
  <c r="C22" i="11" s="1"/>
  <c r="M49" i="6" l="1"/>
  <c r="M50" i="6" s="1"/>
  <c r="M54" i="6" l="1"/>
  <c r="L49" i="6"/>
  <c r="L50" i="6" s="1"/>
  <c r="N49" i="6"/>
  <c r="N50" i="6" s="1"/>
  <c r="O49" i="6"/>
  <c r="O50" i="6" s="1"/>
  <c r="O54" i="6" l="1"/>
  <c r="N54" i="6"/>
  <c r="L54" i="6" l="1"/>
  <c r="D54" i="6" s="1"/>
  <c r="C50" i="6"/>
  <c r="C27" i="11" s="1"/>
  <c r="C30" i="11" s="1"/>
  <c r="C98" i="6" l="1"/>
  <c r="E20" i="12" l="1"/>
  <c r="E19" i="12"/>
  <c r="C19" i="12" l="1"/>
</calcChain>
</file>

<file path=xl/comments1.xml><?xml version="1.0" encoding="utf-8"?>
<comments xmlns="http://schemas.openxmlformats.org/spreadsheetml/2006/main">
  <authors>
    <author>DW</author>
  </authors>
  <commentList>
    <comment ref="F3" authorId="0">
      <text>
        <r>
          <rPr>
            <sz val="9"/>
            <color indexed="81"/>
            <rFont val="Tahoma"/>
            <family val="2"/>
          </rPr>
          <t>Grey cells indicate those that are changed from the base case. This scenario produces a net benefit of 0</t>
        </r>
      </text>
    </comment>
  </commentList>
</comments>
</file>

<file path=xl/comments2.xml><?xml version="1.0" encoding="utf-8"?>
<comments xmlns="http://schemas.openxmlformats.org/spreadsheetml/2006/main">
  <authors>
    <author>DW</author>
  </authors>
  <commentList>
    <comment ref="H7" authorId="0">
      <text>
        <r>
          <rPr>
            <sz val="9"/>
            <color indexed="81"/>
            <rFont val="Tahoma"/>
            <family val="2"/>
          </rPr>
          <t>Note this cell has a different formula from those next to it</t>
        </r>
      </text>
    </comment>
    <comment ref="F18" authorId="0">
      <text>
        <r>
          <rPr>
            <sz val="9"/>
            <color indexed="81"/>
            <rFont val="Tahoma"/>
            <family val="2"/>
          </rPr>
          <t>This is the base value, that subsequent cells are escalated from. Different formula</t>
        </r>
      </text>
    </comment>
    <comment ref="F19" authorId="0">
      <text>
        <r>
          <rPr>
            <sz val="9"/>
            <color indexed="81"/>
            <rFont val="Tahoma"/>
            <family val="2"/>
          </rPr>
          <t>This is the base value, that subsequent cells are escalated from. Different formula</t>
        </r>
      </text>
    </comment>
    <comment ref="H32" authorId="0">
      <text>
        <r>
          <rPr>
            <sz val="9"/>
            <color indexed="81"/>
            <rFont val="Tahoma"/>
            <family val="2"/>
          </rPr>
          <t>Zero until the program starts, otherwise the amount of DR and DG response, scaled up with peak demand growth</t>
        </r>
      </text>
    </comment>
    <comment ref="H34" authorId="0">
      <text>
        <r>
          <rPr>
            <sz val="9"/>
            <color indexed="81"/>
            <rFont val="Tahoma"/>
            <family val="2"/>
          </rPr>
          <t>Only the incremental reduction counts.</t>
        </r>
      </text>
    </comment>
    <comment ref="H48" authorId="0">
      <text>
        <r>
          <rPr>
            <sz val="9"/>
            <color indexed="81"/>
            <rFont val="Tahoma"/>
            <family val="2"/>
          </rPr>
          <t>zero until the program is implemented, otherwise a proportion of residential demand</t>
        </r>
      </text>
    </comment>
  </commentList>
</comments>
</file>

<file path=xl/comments3.xml><?xml version="1.0" encoding="utf-8"?>
<comments xmlns="http://schemas.openxmlformats.org/spreadsheetml/2006/main">
  <authors>
    <author>DW</author>
  </authors>
  <commentList>
    <comment ref="A13" authorId="0">
      <text>
        <r>
          <rPr>
            <sz val="9"/>
            <color indexed="81"/>
            <rFont val="Tahoma"/>
            <family val="2"/>
          </rPr>
          <t>Note that this isn't discounted, because the timing calculations tab handles discounting</t>
        </r>
      </text>
    </comment>
  </commentList>
</comments>
</file>

<file path=xl/sharedStrings.xml><?xml version="1.0" encoding="utf-8"?>
<sst xmlns="http://schemas.openxmlformats.org/spreadsheetml/2006/main" count="343" uniqueCount="194">
  <si>
    <t>MW</t>
  </si>
  <si>
    <t>%</t>
  </si>
  <si>
    <t>Years</t>
  </si>
  <si>
    <t>Discount rate</t>
  </si>
  <si>
    <t>$/MWh</t>
  </si>
  <si>
    <t>Hours per year</t>
  </si>
  <si>
    <t>Comments</t>
  </si>
  <si>
    <t>Global assumptions</t>
  </si>
  <si>
    <t>Base case</t>
  </si>
  <si>
    <t>Evaluation period</t>
  </si>
  <si>
    <t>Peak demand level</t>
  </si>
  <si>
    <t>Residential peak demand</t>
  </si>
  <si>
    <t>Authority guidelines</t>
  </si>
  <si>
    <t>Reduction in residential peak load enabled by improved price information</t>
  </si>
  <si>
    <t>Reduction in peaking generation requirement</t>
  </si>
  <si>
    <t>Hr/yr</t>
  </si>
  <si>
    <t>Lower case</t>
  </si>
  <si>
    <t>Higher case</t>
  </si>
  <si>
    <t>Participant costs</t>
  </si>
  <si>
    <t>Modelled as impact of system being above or below efficient capacity level</t>
  </si>
  <si>
    <t>Difference as % of peak demand</t>
  </si>
  <si>
    <t>www.ea.govt.nz/dmsdocument/13936</t>
  </si>
  <si>
    <t>Reliability benefit</t>
  </si>
  <si>
    <t>Loss per year from having excess or insufficient capacity relative to optimum</t>
  </si>
  <si>
    <t>Assumption that additional residential DR has incremental cost that is 2 x that of effect 1</t>
  </si>
  <si>
    <t>Saving of capex in peaking plant</t>
  </si>
  <si>
    <t>Item $m (present value)</t>
  </si>
  <si>
    <t>Load that could respond to spot prices</t>
  </si>
  <si>
    <t>WAG paper estimated at $1.5M/MW but adjusted for new information</t>
  </si>
  <si>
    <t>Time to implement</t>
  </si>
  <si>
    <t>Peak demand growth</t>
  </si>
  <si>
    <t>Residential peak demand growth</t>
  </si>
  <si>
    <t>%/pa</t>
  </si>
  <si>
    <t>WAG paper estimated up to 400MW available based on larger users on distribution networks. Took average after growing peak over evaluation period</t>
  </si>
  <si>
    <t>Based on system operator assessment in ROM</t>
  </si>
  <si>
    <t>Extra proportion that will respond if RTP option is implemented</t>
  </si>
  <si>
    <t>Transpower, Transmission Planning Report 2015, central case is 1.1% p.a., other rates inferred from Figure 4-2</t>
  </si>
  <si>
    <t>Adopt same as average - but note that residential has historically been more peaky, though new technologies may alter this</t>
  </si>
  <si>
    <t>Lower</t>
  </si>
  <si>
    <t>Higher</t>
  </si>
  <si>
    <t>Year</t>
  </si>
  <si>
    <t>Peak demand level 2015</t>
  </si>
  <si>
    <t>Residential peak demand 2015</t>
  </si>
  <si>
    <t>Existing &amp; latent DR 2015</t>
  </si>
  <si>
    <t>Existing &amp; latent DG 2015</t>
  </si>
  <si>
    <t>Present value of demand response benefits and costs</t>
  </si>
  <si>
    <t>Costs</t>
  </si>
  <si>
    <t>System operation function</t>
  </si>
  <si>
    <t>Net benefits/(costs)</t>
  </si>
  <si>
    <t>* Excludes some benefits that have not be quantified</t>
  </si>
  <si>
    <t>RTP based on dispatch prices</t>
  </si>
  <si>
    <t>Proportion of peaking generation required to substitute for deterred DR and DG</t>
  </si>
  <si>
    <t>http://www.synapse-energy.com/sites/default/files/SynapseReport.2013-03.RAP_.US-Demand-Response.12-080.pdf
Lots of good diagrams/resources in here from US markets. Figure ES4 suggests slightly more than 1% (2007). Figure 5 shows 2003 numbers, and they're 1-6% for different regions. Table 1 has values from 2-10% (2009-10). FIgure 6 shows growth in response as market develops - seems most relevant</t>
  </si>
  <si>
    <t>Pricing manager function (net saving)</t>
  </si>
  <si>
    <t>Potential residential load responding to Price</t>
  </si>
  <si>
    <t>Non-residential peak demand 2015</t>
  </si>
  <si>
    <t>Increased amount from RTP</t>
  </si>
  <si>
    <t>Net</t>
  </si>
  <si>
    <t>Incremental</t>
  </si>
  <si>
    <t>Incremental reduction</t>
  </si>
  <si>
    <t>Load that could respond as % of peak demand</t>
  </si>
  <si>
    <t>Load that is assumed to respond as % of peak demand</t>
  </si>
  <si>
    <t>Load that is assumed to respond as % of non-residential peak demand</t>
  </si>
  <si>
    <t>Implied assumptions</t>
  </si>
  <si>
    <t>System Operator market system changes</t>
  </si>
  <si>
    <t>Within period bids and offers revision</t>
  </si>
  <si>
    <t>Use of Ion meters</t>
  </si>
  <si>
    <t>Infrastructure</t>
  </si>
  <si>
    <t>System</t>
  </si>
  <si>
    <t>Services</t>
  </si>
  <si>
    <t>Benefit = positive</t>
  </si>
  <si>
    <t>Total (negative is a cost)</t>
  </si>
  <si>
    <t>Units</t>
  </si>
  <si>
    <t>$m/MW</t>
  </si>
  <si>
    <t>$m/yr</t>
  </si>
  <si>
    <t>$m</t>
  </si>
  <si>
    <t>Percentage of residential load that could respond to Price</t>
  </si>
  <si>
    <t>Avoided capital cost of inefficient peaking generation</t>
  </si>
  <si>
    <t>Average capacity factor of DR operation</t>
  </si>
  <si>
    <t>Average cost per year of DR operation</t>
  </si>
  <si>
    <t>Which is x% of total residential demand</t>
  </si>
  <si>
    <t>The 'heavy lifting' calculations are done on the timing calculations sheet.</t>
  </si>
  <si>
    <t>Compare with values found in: http://www.sciencedirect.com/science/article/pii/S0301421516306450</t>
  </si>
  <si>
    <t>Start Year</t>
  </si>
  <si>
    <t>Modelled as capex saving from reduction in peaking plant, minus incremental cost of additional DR operation</t>
  </si>
  <si>
    <t>Reduced peaking gen required as a result of increased DR/DG operation</t>
  </si>
  <si>
    <t>WITS implementation costs</t>
  </si>
  <si>
    <t>SPD savings</t>
  </si>
  <si>
    <t>Termination cost for existing MSOP contract</t>
  </si>
  <si>
    <t>Clearing manager implementation costs</t>
  </si>
  <si>
    <t>FTR manager implementation costs</t>
  </si>
  <si>
    <t>Increase in ongoing MOSP costs</t>
  </si>
  <si>
    <t>Implementation Costs</t>
  </si>
  <si>
    <t>Years until benefits first accrue after implementation</t>
  </si>
  <si>
    <t>From TASC 60</t>
  </si>
  <si>
    <t>Cost b) - costs and savings from changes to MSOP contract</t>
  </si>
  <si>
    <t>Cost c) - clearing manager implementation costs</t>
  </si>
  <si>
    <t>Cost a) - system operator implementation costs</t>
  </si>
  <si>
    <t>Additional SO costs for performing some pricing manager duties</t>
  </si>
  <si>
    <t>Cost d) - participant costs</t>
  </si>
  <si>
    <t>Cost assumptions</t>
  </si>
  <si>
    <t>Total</t>
  </si>
  <si>
    <t xml:space="preserve"> This sheet summarizes results from that sheet and does some simple calculations</t>
  </si>
  <si>
    <t>It also extracts some 'implied assumptions' that may be reported, but which do not affect results</t>
  </si>
  <si>
    <t>Notes</t>
  </si>
  <si>
    <t>From current MSOP contract</t>
  </si>
  <si>
    <t>NZX/WITS estimate</t>
  </si>
  <si>
    <t>FTR manage estimate</t>
  </si>
  <si>
    <t>Estimate of 1/4 FTE</t>
  </si>
  <si>
    <t>No change as party will change but operation will remain</t>
  </si>
  <si>
    <t>From observed peaking behaviour</t>
  </si>
  <si>
    <t>Residential response is expected to be slower than industrial response as incentives are lower on a party basis</t>
  </si>
  <si>
    <t>A one-to-one relationship for the base case</t>
  </si>
  <si>
    <t>NZX estimate</t>
  </si>
  <si>
    <t>Scenario Lookup</t>
  </si>
  <si>
    <t>Total of all SO costs</t>
  </si>
  <si>
    <t>Incurred how many years after decision to proceed</t>
  </si>
  <si>
    <t>Decision Year</t>
  </si>
  <si>
    <t>Termination cost</t>
  </si>
  <si>
    <t>Total of all costs</t>
  </si>
  <si>
    <t>All costs/benefits</t>
  </si>
  <si>
    <t>Assumes costs incurred at start of the second year</t>
  </si>
  <si>
    <t>Assumes costs incurred at start of the fourth year</t>
  </si>
  <si>
    <t>See Appendix to RTP paper</t>
  </si>
  <si>
    <t>Benefit a) - additional industrial response</t>
  </si>
  <si>
    <t>Benefit b) - additional residential response</t>
  </si>
  <si>
    <t>Benefit c) - additional efficiency</t>
  </si>
  <si>
    <t>Residential response benefit</t>
  </si>
  <si>
    <t>Annual benefit of improving capacity relative to optimum</t>
  </si>
  <si>
    <t>Timing flags</t>
  </si>
  <si>
    <t>Project started?</t>
  </si>
  <si>
    <t>System operator cost?</t>
  </si>
  <si>
    <t>MSOP contract cost?</t>
  </si>
  <si>
    <t>Clearing manager cost?</t>
  </si>
  <si>
    <t>Participant cost?</t>
  </si>
  <si>
    <t>Residential benefits accruing?</t>
  </si>
  <si>
    <t>Available DG and DR response</t>
  </si>
  <si>
    <t>Total reduced peaking generation required due to RTP</t>
  </si>
  <si>
    <t>Capacity reduction is worth ($m)</t>
  </si>
  <si>
    <t>Reduction in fuel costs</t>
  </si>
  <si>
    <t>Increase in DR costs</t>
  </si>
  <si>
    <t>SRMC of peaker operation</t>
  </si>
  <si>
    <t>Discounting years</t>
  </si>
  <si>
    <t>Discount scalor</t>
  </si>
  <si>
    <t>Assumptions</t>
  </si>
  <si>
    <t>Cost of new peaking gen and associated network $m/MW</t>
  </si>
  <si>
    <t>SRMC cost effect</t>
  </si>
  <si>
    <t>Residential DR operation cost</t>
  </si>
  <si>
    <t>Industrial DR operation cost</t>
  </si>
  <si>
    <t>End of MSOP contract - Infrastructure</t>
  </si>
  <si>
    <t>End of MSOP contract - Systems</t>
  </si>
  <si>
    <t>End of MSOP contract - Services</t>
  </si>
  <si>
    <t>End of MSOP contract - SPD</t>
  </si>
  <si>
    <t>Changes to ongoing MSOP costs</t>
  </si>
  <si>
    <t>Net Benefit</t>
  </si>
  <si>
    <t>These cells are copy and pasted from the left - they do not update automatically</t>
  </si>
  <si>
    <t>Additional info / Averages</t>
  </si>
  <si>
    <t>Increase in SRMC (incremental cost of DR vs peaker SRMC savings)</t>
  </si>
  <si>
    <t>Deviation from optimal</t>
  </si>
  <si>
    <t>Benefits</t>
  </si>
  <si>
    <t>Implementation and administration costs</t>
  </si>
  <si>
    <t>Benefits from DR operation and reliability</t>
  </si>
  <si>
    <t>Industrial response operational incremental cost</t>
  </si>
  <si>
    <t>Residential response operational incremental cost</t>
  </si>
  <si>
    <t>Difference between current and "RTP" level of efficient capacity</t>
  </si>
  <si>
    <t>Midpoint or end of year discounting</t>
  </si>
  <si>
    <t>End</t>
  </si>
  <si>
    <t>BCR</t>
  </si>
  <si>
    <t>From timing calcs Tab</t>
  </si>
  <si>
    <t>Present value of additional residential response benefits and costs</t>
  </si>
  <si>
    <t>Historic data = grid + embedded peak in 2011</t>
  </si>
  <si>
    <t>Residual of other 2 demand numbers</t>
  </si>
  <si>
    <t>Approximate interpolation between $1m (50MW) and $5m (100MW) recognising that it is non-linear</t>
  </si>
  <si>
    <t>Note that this is the cost to use ION meter data, not the cost to install ION meters</t>
  </si>
  <si>
    <t>Demand response costs</t>
  </si>
  <si>
    <t>This spreadsheet sets out the calculations for the cost benefit analysis of real time pricing.</t>
  </si>
  <si>
    <t>It should be read in conjunction with the appendix to the consultation paper, which describes the CBA and key assumptions.</t>
  </si>
  <si>
    <t>The other tabs in the spreadsheet are:</t>
  </si>
  <si>
    <t>Overview</t>
  </si>
  <si>
    <t>Select which case to consider in lookup function below</t>
  </si>
  <si>
    <r>
      <rPr>
        <b/>
        <sz val="11"/>
        <color theme="1"/>
        <rFont val="Calibri"/>
        <family val="2"/>
        <scheme val="minor"/>
      </rPr>
      <t>Assumptions</t>
    </r>
    <r>
      <rPr>
        <sz val="11"/>
        <color theme="1"/>
        <rFont val="Calibri"/>
        <family val="2"/>
        <scheme val="minor"/>
      </rPr>
      <t xml:space="preserve"> - this sets out the key inputs for the CBA and discusses the sources for assumptions. Note that three composite scenarios are considered (lower case, base case, upper case).</t>
    </r>
  </si>
  <si>
    <r>
      <rPr>
        <b/>
        <sz val="11"/>
        <color theme="1"/>
        <rFont val="Calibri"/>
        <family val="2"/>
        <scheme val="minor"/>
      </rPr>
      <t>Timing calculations</t>
    </r>
    <r>
      <rPr>
        <sz val="11"/>
        <color theme="1"/>
        <rFont val="Calibri"/>
        <family val="2"/>
        <scheme val="minor"/>
      </rPr>
      <t xml:space="preserve"> - this sets out the time profile of estimated benefits and costs - note that the user needs to select a scenario (lower, base, higher) using the lookup function. </t>
    </r>
  </si>
  <si>
    <r>
      <rPr>
        <b/>
        <sz val="11"/>
        <color theme="1"/>
        <rFont val="Calibri"/>
        <family val="2"/>
        <scheme val="minor"/>
      </rPr>
      <t>Detailed results</t>
    </r>
    <r>
      <rPr>
        <sz val="11"/>
        <color theme="1"/>
        <rFont val="Calibri"/>
        <family val="2"/>
        <scheme val="minor"/>
      </rPr>
      <t xml:space="preserve"> - this calculates results for the scenario selected in the 'timing calculations' tab. These are pasted as values in columns E-G (for the three different scenarios).</t>
    </r>
  </si>
  <si>
    <r>
      <rPr>
        <b/>
        <sz val="11"/>
        <color theme="1"/>
        <rFont val="Calibri"/>
        <family val="2"/>
        <scheme val="minor"/>
      </rPr>
      <t>Results table</t>
    </r>
    <r>
      <rPr>
        <sz val="11"/>
        <color theme="1"/>
        <rFont val="Calibri"/>
        <family val="2"/>
        <scheme val="minor"/>
      </rPr>
      <t xml:space="preserve"> - this sheet shows the results in the form published in the consultation paper. It uses the information in the 'Detailed results' tab.</t>
    </r>
  </si>
  <si>
    <t>Percentage of residential load that could respond to price</t>
  </si>
  <si>
    <t>Cost of generation</t>
  </si>
  <si>
    <t>See Appendix to RTP paper, para E.20. The uncertainty re these assumptions is recognised - and for this reason there is also a 'break-even' sensitivity case (discussed later in the appendix)</t>
  </si>
  <si>
    <t>WAG paper implicitly assumed variable cost for DR equivalent to variable cost of peaker - instead assume DR cost is greater by $250/MWh, i.e. DR around $550/MWh on average. This is consistent with other published estimates, such as operational review of transmission pricing methodology (see https://www.ea.govt.nz/development/work-programme/pricing-cost-allocation/transpower-tpm-operational-review)</t>
  </si>
  <si>
    <t>Industrial and commercial response benefit</t>
  </si>
  <si>
    <t>Total demand response costs</t>
  </si>
  <si>
    <t xml:space="preserve">Cost of increased DR operation </t>
  </si>
  <si>
    <t>Break Even</t>
  </si>
  <si>
    <t>Loss per year</t>
  </si>
  <si>
    <t>2.2 kW contribution at peak, x no of ICPs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</si>
</sst>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_);_(* \(#,##0.00\);_(* &quot;-&quot;??_);_(@_)"/>
    <numFmt numFmtId="165" formatCode="0.0"/>
    <numFmt numFmtId="166" formatCode="_-* #,##0_-;\-* #,##0_-;_-* &quot;-&quot;??_-;_-@_-"/>
    <numFmt numFmtId="167" formatCode="0.0%"/>
    <numFmt numFmtId="168" formatCode="_-* #,##0.0_-;\-* #,##0.0_-;_-* &quot;-&quot;??_-;_-@_-"/>
    <numFmt numFmtId="169" formatCode="_-* #,##0.000_-;\-* #,##0.000_-;_-* &quot;-&quot;??_-;_-@_-"/>
    <numFmt numFmtId="170" formatCode="&quot;$&quot;#,##0.000;[Red]\-&quot;$&quot;#,##0.000"/>
    <numFmt numFmtId="171" formatCode="&quot;$&quot;#,##0.00"/>
    <numFmt numFmtId="172" formatCode="0.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rgb="FFE8E8E8"/>
      <name val="Arial"/>
      <family val="2"/>
    </font>
    <font>
      <sz val="10"/>
      <color rgb="FF540000"/>
      <name val="Arial"/>
      <family val="2"/>
    </font>
    <font>
      <b/>
      <sz val="10"/>
      <color rgb="FF54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3"/>
      <name val="Arial"/>
      <family val="2"/>
    </font>
    <font>
      <i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sz val="11"/>
      <color theme="6"/>
      <name val="Arial"/>
      <family val="2"/>
    </font>
    <font>
      <b/>
      <sz val="11"/>
      <color theme="1"/>
      <name val="Calibri"/>
      <family val="2"/>
      <scheme val="minor"/>
    </font>
    <font>
      <sz val="11"/>
      <color theme="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F7BAF"/>
        <bgColor indexed="64"/>
      </patternFill>
    </fill>
    <fill>
      <patternFill patternType="solid">
        <fgColor rgb="FFCCD7E3"/>
        <bgColor indexed="64"/>
      </patternFill>
    </fill>
    <fill>
      <patternFill patternType="solid">
        <fgColor rgb="FFE7ECF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rgb="FFE8E8E8"/>
      </left>
      <right style="medium">
        <color rgb="FFE8E8E8"/>
      </right>
      <top style="medium">
        <color rgb="FFE8E8E8"/>
      </top>
      <bottom/>
      <diagonal/>
    </border>
    <border>
      <left style="medium">
        <color rgb="FFE8E8E8"/>
      </left>
      <right style="medium">
        <color rgb="FFE8E8E8"/>
      </right>
      <top style="thick">
        <color rgb="FFE8E8E8"/>
      </top>
      <bottom style="medium">
        <color rgb="FFE8E8E8"/>
      </bottom>
      <diagonal/>
    </border>
    <border>
      <left style="medium">
        <color rgb="FFE8E8E8"/>
      </left>
      <right style="medium">
        <color rgb="FFE8E8E8"/>
      </right>
      <top style="medium">
        <color rgb="FFE8E8E8"/>
      </top>
      <bottom style="medium">
        <color rgb="FFE8E8E8"/>
      </bottom>
      <diagonal/>
    </border>
    <border>
      <left style="medium">
        <color rgb="FFE8E8E8"/>
      </left>
      <right style="medium">
        <color rgb="FFE8E8E8"/>
      </right>
      <top/>
      <bottom style="medium">
        <color rgb="FFE8E8E8"/>
      </bottom>
      <diagonal/>
    </border>
    <border>
      <left style="medium">
        <color rgb="FFE8E8E8"/>
      </left>
      <right style="medium">
        <color rgb="FFE8E8E8"/>
      </right>
      <top style="medium">
        <color rgb="FFE8E8E8"/>
      </top>
      <bottom style="thin">
        <color indexed="64"/>
      </bottom>
      <diagonal/>
    </border>
    <border>
      <left style="medium">
        <color rgb="FFE8E8E8"/>
      </left>
      <right style="medium">
        <color rgb="FFE8E8E8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E8E8E8"/>
      </left>
      <right style="medium">
        <color rgb="FFE8E8E8"/>
      </right>
      <top style="thin">
        <color indexed="64"/>
      </top>
      <bottom style="medium">
        <color rgb="FFE8E8E8"/>
      </bottom>
      <diagonal/>
    </border>
    <border>
      <left style="medium">
        <color rgb="FFE8E8E8"/>
      </left>
      <right style="medium">
        <color rgb="FFE8E8E8"/>
      </right>
      <top style="thick">
        <color rgb="FFE8E8E8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44" fontId="1" fillId="0" borderId="0" applyFont="0" applyFill="0" applyBorder="0" applyAlignment="0" applyProtection="0"/>
  </cellStyleXfs>
  <cellXfs count="161">
    <xf numFmtId="0" fontId="0" fillId="0" borderId="0" xfId="0"/>
    <xf numFmtId="0" fontId="5" fillId="0" borderId="0" xfId="0" applyFont="1" applyAlignment="1"/>
    <xf numFmtId="0" fontId="6" fillId="3" borderId="1" xfId="0" applyFont="1" applyFill="1" applyBorder="1" applyAlignment="1">
      <alignment horizontal="left" vertical="center" readingOrder="1"/>
    </xf>
    <xf numFmtId="0" fontId="6" fillId="3" borderId="1" xfId="0" applyFont="1" applyFill="1" applyBorder="1" applyAlignment="1">
      <alignment horizontal="center" vertical="center" readingOrder="1"/>
    </xf>
    <xf numFmtId="0" fontId="8" fillId="5" borderId="4" xfId="0" applyFont="1" applyFill="1" applyBorder="1" applyAlignment="1">
      <alignment horizontal="left" vertical="center" readingOrder="1"/>
    </xf>
    <xf numFmtId="0" fontId="7" fillId="5" borderId="4" xfId="0" applyFont="1" applyFill="1" applyBorder="1" applyAlignment="1">
      <alignment horizontal="left" vertical="center" readingOrder="1"/>
    </xf>
    <xf numFmtId="166" fontId="7" fillId="5" borderId="4" xfId="2" applyNumberFormat="1" applyFont="1" applyFill="1" applyBorder="1" applyAlignment="1">
      <alignment horizontal="right" vertical="center" readingOrder="1"/>
    </xf>
    <xf numFmtId="0" fontId="7" fillId="5" borderId="3" xfId="0" applyFont="1" applyFill="1" applyBorder="1" applyAlignment="1">
      <alignment horizontal="left" vertical="center" readingOrder="1"/>
    </xf>
    <xf numFmtId="0" fontId="7" fillId="4" borderId="2" xfId="0" applyFont="1" applyFill="1" applyBorder="1" applyAlignment="1">
      <alignment horizontal="left" vertical="center" readingOrder="1"/>
    </xf>
    <xf numFmtId="0" fontId="7" fillId="4" borderId="3" xfId="0" applyFont="1" applyFill="1" applyBorder="1" applyAlignment="1">
      <alignment horizontal="left" vertical="center" readingOrder="1"/>
    </xf>
    <xf numFmtId="0" fontId="9" fillId="0" borderId="0" xfId="0" applyFont="1"/>
    <xf numFmtId="0" fontId="10" fillId="0" borderId="0" xfId="0" applyFont="1" applyAlignment="1">
      <alignment horizontal="center" wrapText="1"/>
    </xf>
    <xf numFmtId="0" fontId="10" fillId="0" borderId="0" xfId="0" applyFont="1"/>
    <xf numFmtId="9" fontId="9" fillId="2" borderId="0" xfId="0" applyNumberFormat="1" applyFont="1" applyFill="1"/>
    <xf numFmtId="0" fontId="9" fillId="0" borderId="0" xfId="0" applyFont="1" applyFill="1"/>
    <xf numFmtId="0" fontId="9" fillId="2" borderId="0" xfId="0" applyFont="1" applyFill="1" applyBorder="1"/>
    <xf numFmtId="0" fontId="9" fillId="2" borderId="0" xfId="0" applyFont="1" applyFill="1"/>
    <xf numFmtId="166" fontId="9" fillId="2" borderId="0" xfId="2" applyNumberFormat="1" applyFont="1" applyFill="1"/>
    <xf numFmtId="167" fontId="9" fillId="2" borderId="0" xfId="0" applyNumberFormat="1" applyFont="1" applyFill="1"/>
    <xf numFmtId="167" fontId="11" fillId="2" borderId="0" xfId="1" applyNumberFormat="1" applyFont="1" applyFill="1" applyBorder="1"/>
    <xf numFmtId="0" fontId="13" fillId="0" borderId="0" xfId="3" applyFont="1" applyFill="1" applyAlignment="1">
      <alignment horizontal="left"/>
    </xf>
    <xf numFmtId="0" fontId="14" fillId="0" borderId="0" xfId="4" applyFont="1"/>
    <xf numFmtId="0" fontId="14" fillId="0" borderId="0" xfId="4" applyFont="1" applyFill="1"/>
    <xf numFmtId="0" fontId="14" fillId="2" borderId="0" xfId="4" applyFont="1" applyFill="1"/>
    <xf numFmtId="0" fontId="12" fillId="0" borderId="0" xfId="0" applyFont="1" applyAlignment="1"/>
    <xf numFmtId="0" fontId="9" fillId="0" borderId="0" xfId="0" applyFont="1" applyAlignment="1"/>
    <xf numFmtId="9" fontId="9" fillId="2" borderId="0" xfId="1" applyFont="1" applyFill="1" applyAlignment="1"/>
    <xf numFmtId="9" fontId="9" fillId="2" borderId="0" xfId="1" applyNumberFormat="1" applyFont="1" applyFill="1" applyBorder="1" applyAlignment="1"/>
    <xf numFmtId="9" fontId="9" fillId="2" borderId="0" xfId="1" applyFont="1" applyFill="1" applyBorder="1" applyAlignment="1"/>
    <xf numFmtId="168" fontId="9" fillId="0" borderId="0" xfId="2" applyNumberFormat="1" applyFont="1" applyFill="1" applyAlignment="1"/>
    <xf numFmtId="168" fontId="9" fillId="2" borderId="0" xfId="2" applyNumberFormat="1" applyFont="1" applyFill="1" applyBorder="1" applyAlignment="1"/>
    <xf numFmtId="166" fontId="9" fillId="0" borderId="0" xfId="0" applyNumberFormat="1" applyFont="1" applyFill="1" applyAlignment="1"/>
    <xf numFmtId="166" fontId="9" fillId="2" borderId="0" xfId="2" applyNumberFormat="1" applyFont="1" applyFill="1" applyAlignment="1"/>
    <xf numFmtId="0" fontId="10" fillId="0" borderId="0" xfId="0" applyFont="1" applyAlignment="1">
      <alignment horizontal="center"/>
    </xf>
    <xf numFmtId="0" fontId="9" fillId="2" borderId="0" xfId="0" applyFont="1" applyFill="1" applyAlignment="1"/>
    <xf numFmtId="0" fontId="9" fillId="2" borderId="0" xfId="0" applyFont="1" applyFill="1" applyBorder="1" applyAlignment="1"/>
    <xf numFmtId="0" fontId="10" fillId="0" borderId="0" xfId="0" applyFont="1" applyFill="1" applyAlignment="1">
      <alignment horizontal="center"/>
    </xf>
    <xf numFmtId="9" fontId="9" fillId="0" borderId="0" xfId="1" applyFont="1" applyBorder="1" applyAlignment="1"/>
    <xf numFmtId="0" fontId="9" fillId="0" borderId="0" xfId="0" applyFont="1" applyFill="1" applyAlignment="1"/>
    <xf numFmtId="0" fontId="13" fillId="0" borderId="0" xfId="3" applyFont="1" applyFill="1" applyBorder="1" applyAlignment="1"/>
    <xf numFmtId="0" fontId="10" fillId="0" borderId="0" xfId="0" applyFont="1" applyAlignment="1"/>
    <xf numFmtId="0" fontId="9" fillId="0" borderId="0" xfId="0" applyFont="1" applyBorder="1" applyAlignment="1"/>
    <xf numFmtId="2" fontId="9" fillId="2" borderId="0" xfId="0" applyNumberFormat="1" applyFont="1" applyFill="1" applyAlignment="1"/>
    <xf numFmtId="2" fontId="9" fillId="2" borderId="0" xfId="0" applyNumberFormat="1" applyFont="1" applyFill="1" applyBorder="1" applyAlignment="1"/>
    <xf numFmtId="2" fontId="9" fillId="0" borderId="0" xfId="0" applyNumberFormat="1" applyFont="1" applyFill="1" applyAlignment="1"/>
    <xf numFmtId="1" fontId="9" fillId="2" borderId="0" xfId="0" applyNumberFormat="1" applyFont="1" applyFill="1" applyAlignment="1"/>
    <xf numFmtId="0" fontId="15" fillId="0" borderId="0" xfId="4" applyFont="1"/>
    <xf numFmtId="166" fontId="14" fillId="0" borderId="0" xfId="2" applyNumberFormat="1" applyFont="1"/>
    <xf numFmtId="0" fontId="15" fillId="0" borderId="0" xfId="4" applyFont="1" applyAlignment="1">
      <alignment horizontal="center"/>
    </xf>
    <xf numFmtId="166" fontId="9" fillId="0" borderId="0" xfId="2" applyNumberFormat="1" applyFont="1" applyFill="1"/>
    <xf numFmtId="43" fontId="14" fillId="0" borderId="0" xfId="2" applyNumberFormat="1" applyFont="1"/>
    <xf numFmtId="43" fontId="14" fillId="0" borderId="0" xfId="4" applyNumberFormat="1" applyFont="1" applyFill="1"/>
    <xf numFmtId="43" fontId="14" fillId="0" borderId="0" xfId="2" applyNumberFormat="1" applyFont="1" applyFill="1"/>
    <xf numFmtId="8" fontId="14" fillId="0" borderId="0" xfId="4" applyNumberFormat="1" applyFont="1" applyFill="1"/>
    <xf numFmtId="169" fontId="14" fillId="0" borderId="0" xfId="2" applyNumberFormat="1" applyFont="1" applyFill="1"/>
    <xf numFmtId="166" fontId="14" fillId="0" borderId="0" xfId="2" applyNumberFormat="1" applyFont="1" applyFill="1"/>
    <xf numFmtId="168" fontId="14" fillId="0" borderId="0" xfId="4" applyNumberFormat="1" applyFont="1" applyFill="1"/>
    <xf numFmtId="168" fontId="14" fillId="0" borderId="0" xfId="2" applyNumberFormat="1" applyFont="1" applyFill="1"/>
    <xf numFmtId="170" fontId="14" fillId="0" borderId="0" xfId="4" applyNumberFormat="1" applyFont="1" applyFill="1"/>
    <xf numFmtId="0" fontId="14" fillId="0" borderId="0" xfId="4" applyFont="1" applyFill="1" applyAlignment="1">
      <alignment horizontal="center"/>
    </xf>
    <xf numFmtId="0" fontId="15" fillId="0" borderId="0" xfId="4" applyFont="1" applyFill="1"/>
    <xf numFmtId="0" fontId="13" fillId="0" borderId="0" xfId="3" applyFont="1" applyFill="1" applyAlignment="1"/>
    <xf numFmtId="0" fontId="10" fillId="0" borderId="0" xfId="0" applyFont="1" applyAlignment="1">
      <alignment horizontal="left"/>
    </xf>
    <xf numFmtId="0" fontId="10" fillId="0" borderId="0" xfId="0" applyFont="1" applyFill="1" applyAlignment="1">
      <alignment horizontal="left"/>
    </xf>
    <xf numFmtId="1" fontId="9" fillId="0" borderId="0" xfId="0" applyNumberFormat="1" applyFont="1" applyAlignment="1"/>
    <xf numFmtId="0" fontId="12" fillId="0" borderId="0" xfId="0" applyFont="1" applyFill="1" applyAlignment="1"/>
    <xf numFmtId="10" fontId="9" fillId="0" borderId="0" xfId="1" applyNumberFormat="1" applyFont="1" applyAlignment="1"/>
    <xf numFmtId="1" fontId="9" fillId="0" borderId="0" xfId="0" applyNumberFormat="1" applyFont="1" applyFill="1" applyAlignment="1"/>
    <xf numFmtId="43" fontId="10" fillId="0" borderId="0" xfId="0" applyNumberFormat="1" applyFont="1" applyFill="1" applyAlignment="1">
      <alignment horizontal="center"/>
    </xf>
    <xf numFmtId="166" fontId="9" fillId="0" borderId="0" xfId="0" applyNumberFormat="1" applyFont="1" applyAlignment="1"/>
    <xf numFmtId="8" fontId="9" fillId="0" borderId="0" xfId="0" applyNumberFormat="1" applyFont="1" applyAlignment="1"/>
    <xf numFmtId="9" fontId="9" fillId="0" borderId="0" xfId="1" applyNumberFormat="1" applyFont="1" applyFill="1" applyBorder="1" applyAlignment="1"/>
    <xf numFmtId="0" fontId="12" fillId="0" borderId="0" xfId="0" applyFont="1"/>
    <xf numFmtId="168" fontId="7" fillId="5" borderId="3" xfId="2" applyNumberFormat="1" applyFont="1" applyFill="1" applyBorder="1" applyAlignment="1">
      <alignment horizontal="right" vertical="center" readingOrder="1"/>
    </xf>
    <xf numFmtId="0" fontId="16" fillId="0" borderId="0" xfId="4" applyFont="1"/>
    <xf numFmtId="0" fontId="17" fillId="0" borderId="0" xfId="4" applyFont="1" applyAlignment="1">
      <alignment horizontal="left" indent="1"/>
    </xf>
    <xf numFmtId="166" fontId="18" fillId="0" borderId="0" xfId="2" applyNumberFormat="1" applyFont="1"/>
    <xf numFmtId="9" fontId="15" fillId="0" borderId="0" xfId="1" applyFont="1" applyFill="1"/>
    <xf numFmtId="0" fontId="12" fillId="0" borderId="0" xfId="0" applyFont="1" applyAlignment="1">
      <alignment horizontal="left" indent="1"/>
    </xf>
    <xf numFmtId="0" fontId="15" fillId="0" borderId="0" xfId="1" applyNumberFormat="1" applyFont="1" applyFill="1"/>
    <xf numFmtId="0" fontId="17" fillId="0" borderId="0" xfId="4" applyFont="1"/>
    <xf numFmtId="44" fontId="15" fillId="0" borderId="0" xfId="5" applyFont="1" applyFill="1"/>
    <xf numFmtId="166" fontId="9" fillId="6" borderId="0" xfId="2" applyNumberFormat="1" applyFont="1" applyFill="1" applyBorder="1" applyAlignment="1"/>
    <xf numFmtId="168" fontId="9" fillId="6" borderId="0" xfId="2" applyNumberFormat="1" applyFont="1" applyFill="1" applyBorder="1" applyAlignment="1"/>
    <xf numFmtId="167" fontId="9" fillId="6" borderId="0" xfId="1" applyNumberFormat="1" applyFont="1" applyFill="1" applyBorder="1" applyAlignment="1"/>
    <xf numFmtId="0" fontId="9" fillId="6" borderId="0" xfId="0" applyFont="1" applyFill="1" applyBorder="1" applyAlignment="1"/>
    <xf numFmtId="165" fontId="9" fillId="6" borderId="0" xfId="0" applyNumberFormat="1" applyFont="1" applyFill="1" applyBorder="1" applyAlignment="1"/>
    <xf numFmtId="168" fontId="9" fillId="6" borderId="0" xfId="0" applyNumberFormat="1" applyFont="1" applyFill="1" applyBorder="1" applyAlignment="1"/>
    <xf numFmtId="0" fontId="10" fillId="6" borderId="7" xfId="0" applyFont="1" applyFill="1" applyBorder="1" applyAlignment="1">
      <alignment horizontal="left"/>
    </xf>
    <xf numFmtId="0" fontId="9" fillId="6" borderId="8" xfId="0" applyFont="1" applyFill="1" applyBorder="1" applyAlignment="1">
      <alignment horizontal="left"/>
    </xf>
    <xf numFmtId="0" fontId="10" fillId="6" borderId="9" xfId="0" applyFont="1" applyFill="1" applyBorder="1" applyAlignment="1">
      <alignment horizontal="left"/>
    </xf>
    <xf numFmtId="0" fontId="10" fillId="6" borderId="10" xfId="0" applyFont="1" applyFill="1" applyBorder="1" applyAlignment="1"/>
    <xf numFmtId="0" fontId="10" fillId="6" borderId="0" xfId="0" applyFont="1" applyFill="1" applyBorder="1" applyAlignment="1"/>
    <xf numFmtId="0" fontId="10" fillId="6" borderId="11" xfId="0" applyFont="1" applyFill="1" applyBorder="1" applyAlignment="1"/>
    <xf numFmtId="0" fontId="9" fillId="6" borderId="10" xfId="0" applyFont="1" applyFill="1" applyBorder="1" applyAlignment="1"/>
    <xf numFmtId="0" fontId="9" fillId="6" borderId="11" xfId="0" applyFont="1" applyFill="1" applyBorder="1" applyAlignment="1"/>
    <xf numFmtId="166" fontId="9" fillId="6" borderId="10" xfId="2" applyNumberFormat="1" applyFont="1" applyFill="1" applyBorder="1" applyAlignment="1"/>
    <xf numFmtId="166" fontId="9" fillId="6" borderId="11" xfId="2" applyNumberFormat="1" applyFont="1" applyFill="1" applyBorder="1" applyAlignment="1"/>
    <xf numFmtId="168" fontId="9" fillId="6" borderId="10" xfId="2" applyNumberFormat="1" applyFont="1" applyFill="1" applyBorder="1" applyAlignment="1"/>
    <xf numFmtId="168" fontId="9" fillId="6" borderId="11" xfId="2" applyNumberFormat="1" applyFont="1" applyFill="1" applyBorder="1" applyAlignment="1"/>
    <xf numFmtId="1" fontId="9" fillId="6" borderId="10" xfId="0" applyNumberFormat="1" applyFont="1" applyFill="1" applyBorder="1" applyAlignment="1"/>
    <xf numFmtId="1" fontId="9" fillId="6" borderId="0" xfId="0" applyNumberFormat="1" applyFont="1" applyFill="1" applyBorder="1" applyAlignment="1"/>
    <xf numFmtId="1" fontId="9" fillId="6" borderId="11" xfId="0" applyNumberFormat="1" applyFont="1" applyFill="1" applyBorder="1" applyAlignment="1"/>
    <xf numFmtId="10" fontId="9" fillId="6" borderId="10" xfId="1" applyNumberFormat="1" applyFont="1" applyFill="1" applyBorder="1" applyAlignment="1"/>
    <xf numFmtId="10" fontId="9" fillId="6" borderId="0" xfId="1" applyNumberFormat="1" applyFont="1" applyFill="1" applyBorder="1" applyAlignment="1"/>
    <xf numFmtId="10" fontId="9" fillId="6" borderId="11" xfId="1" applyNumberFormat="1" applyFont="1" applyFill="1" applyBorder="1" applyAlignment="1"/>
    <xf numFmtId="167" fontId="9" fillId="6" borderId="10" xfId="1" applyNumberFormat="1" applyFont="1" applyFill="1" applyBorder="1" applyAlignment="1"/>
    <xf numFmtId="167" fontId="9" fillId="6" borderId="11" xfId="1" applyNumberFormat="1" applyFont="1" applyFill="1" applyBorder="1" applyAlignment="1"/>
    <xf numFmtId="43" fontId="9" fillId="6" borderId="10" xfId="0" applyNumberFormat="1" applyFont="1" applyFill="1" applyBorder="1" applyAlignment="1"/>
    <xf numFmtId="43" fontId="9" fillId="6" borderId="0" xfId="0" applyNumberFormat="1" applyFont="1" applyFill="1" applyBorder="1" applyAlignment="1"/>
    <xf numFmtId="43" fontId="9" fillId="6" borderId="11" xfId="0" applyNumberFormat="1" applyFont="1" applyFill="1" applyBorder="1" applyAlignment="1"/>
    <xf numFmtId="165" fontId="9" fillId="6" borderId="10" xfId="0" applyNumberFormat="1" applyFont="1" applyFill="1" applyBorder="1" applyAlignment="1"/>
    <xf numFmtId="165" fontId="9" fillId="6" borderId="11" xfId="0" applyNumberFormat="1" applyFont="1" applyFill="1" applyBorder="1" applyAlignment="1"/>
    <xf numFmtId="168" fontId="9" fillId="6" borderId="10" xfId="0" applyNumberFormat="1" applyFont="1" applyFill="1" applyBorder="1" applyAlignment="1"/>
    <xf numFmtId="168" fontId="9" fillId="6" borderId="11" xfId="0" applyNumberFormat="1" applyFont="1" applyFill="1" applyBorder="1" applyAlignment="1"/>
    <xf numFmtId="2" fontId="9" fillId="6" borderId="0" xfId="0" applyNumberFormat="1" applyFont="1" applyFill="1" applyBorder="1" applyAlignment="1"/>
    <xf numFmtId="2" fontId="9" fillId="6" borderId="10" xfId="0" applyNumberFormat="1" applyFont="1" applyFill="1" applyBorder="1" applyAlignment="1"/>
    <xf numFmtId="2" fontId="9" fillId="6" borderId="11" xfId="0" applyNumberFormat="1" applyFont="1" applyFill="1" applyBorder="1" applyAlignment="1"/>
    <xf numFmtId="1" fontId="9" fillId="6" borderId="12" xfId="0" applyNumberFormat="1" applyFont="1" applyFill="1" applyBorder="1" applyAlignment="1"/>
    <xf numFmtId="1" fontId="9" fillId="6" borderId="13" xfId="0" applyNumberFormat="1" applyFont="1" applyFill="1" applyBorder="1" applyAlignment="1"/>
    <xf numFmtId="1" fontId="9" fillId="6" borderId="14" xfId="0" applyNumberFormat="1" applyFont="1" applyFill="1" applyBorder="1" applyAlignment="1"/>
    <xf numFmtId="0" fontId="9" fillId="6" borderId="15" xfId="0" applyFont="1" applyFill="1" applyBorder="1" applyAlignment="1"/>
    <xf numFmtId="0" fontId="9" fillId="6" borderId="16" xfId="0" applyFont="1" applyFill="1" applyBorder="1" applyAlignment="1"/>
    <xf numFmtId="0" fontId="9" fillId="6" borderId="17" xfId="0" applyFont="1" applyFill="1" applyBorder="1" applyAlignment="1"/>
    <xf numFmtId="8" fontId="9" fillId="0" borderId="0" xfId="0" applyNumberFormat="1" applyFont="1" applyFill="1" applyAlignment="1"/>
    <xf numFmtId="10" fontId="9" fillId="0" borderId="0" xfId="1" applyNumberFormat="1" applyFont="1" applyFill="1" applyAlignment="1"/>
    <xf numFmtId="171" fontId="9" fillId="0" borderId="0" xfId="0" applyNumberFormat="1" applyFont="1" applyAlignment="1"/>
    <xf numFmtId="43" fontId="5" fillId="0" borderId="0" xfId="0" applyNumberFormat="1" applyFont="1" applyAlignment="1"/>
    <xf numFmtId="0" fontId="0" fillId="0" borderId="0" xfId="0" applyFill="1"/>
    <xf numFmtId="0" fontId="0" fillId="0" borderId="0" xfId="0" applyAlignment="1">
      <alignment wrapText="1"/>
    </xf>
    <xf numFmtId="0" fontId="19" fillId="0" borderId="0" xfId="0" applyFont="1"/>
    <xf numFmtId="0" fontId="20" fillId="0" borderId="0" xfId="4" applyFont="1"/>
    <xf numFmtId="166" fontId="7" fillId="5" borderId="3" xfId="2" applyNumberFormat="1" applyFont="1" applyFill="1" applyBorder="1" applyAlignment="1">
      <alignment horizontal="right" vertical="center" readingOrder="1"/>
    </xf>
    <xf numFmtId="166" fontId="7" fillId="4" borderId="2" xfId="2" applyNumberFormat="1" applyFont="1" applyFill="1" applyBorder="1" applyAlignment="1">
      <alignment horizontal="right" vertical="center" readingOrder="1"/>
    </xf>
    <xf numFmtId="166" fontId="7" fillId="5" borderId="5" xfId="2" applyNumberFormat="1" applyFont="1" applyFill="1" applyBorder="1" applyAlignment="1">
      <alignment horizontal="right" vertical="center" readingOrder="1"/>
    </xf>
    <xf numFmtId="166" fontId="7" fillId="4" borderId="4" xfId="2" applyNumberFormat="1" applyFont="1" applyFill="1" applyBorder="1" applyAlignment="1">
      <alignment horizontal="right" vertical="center" readingOrder="1"/>
    </xf>
    <xf numFmtId="166" fontId="7" fillId="4" borderId="19" xfId="0" applyNumberFormat="1" applyFont="1" applyFill="1" applyBorder="1" applyAlignment="1">
      <alignment horizontal="right" vertical="center" readingOrder="1"/>
    </xf>
    <xf numFmtId="166" fontId="7" fillId="5" borderId="18" xfId="2" applyNumberFormat="1" applyFont="1" applyFill="1" applyBorder="1" applyAlignment="1">
      <alignment horizontal="right" vertical="center" readingOrder="1"/>
    </xf>
    <xf numFmtId="166" fontId="7" fillId="5" borderId="3" xfId="0" applyNumberFormat="1" applyFont="1" applyFill="1" applyBorder="1" applyAlignment="1">
      <alignment horizontal="left" vertical="center" readingOrder="1"/>
    </xf>
    <xf numFmtId="166" fontId="5" fillId="0" borderId="0" xfId="0" applyNumberFormat="1" applyFont="1" applyAlignment="1"/>
    <xf numFmtId="166" fontId="7" fillId="4" borderId="6" xfId="2" applyNumberFormat="1" applyFont="1" applyFill="1" applyBorder="1" applyAlignment="1">
      <alignment horizontal="right" vertical="center" readingOrder="1"/>
    </xf>
    <xf numFmtId="166" fontId="7" fillId="4" borderId="3" xfId="0" applyNumberFormat="1" applyFont="1" applyFill="1" applyBorder="1" applyAlignment="1">
      <alignment horizontal="right" vertical="center" readingOrder="1"/>
    </xf>
    <xf numFmtId="172" fontId="9" fillId="0" borderId="0" xfId="0" applyNumberFormat="1" applyFont="1" applyAlignment="1"/>
    <xf numFmtId="172" fontId="9" fillId="2" borderId="0" xfId="0" applyNumberFormat="1" applyFont="1" applyFill="1" applyAlignment="1"/>
    <xf numFmtId="172" fontId="9" fillId="0" borderId="0" xfId="0" applyNumberFormat="1" applyFont="1" applyFill="1" applyAlignment="1"/>
    <xf numFmtId="9" fontId="9" fillId="0" borderId="0" xfId="0" applyNumberFormat="1" applyFont="1" applyFill="1"/>
    <xf numFmtId="0" fontId="9" fillId="0" borderId="0" xfId="0" applyFont="1" applyFill="1" applyBorder="1"/>
    <xf numFmtId="167" fontId="11" fillId="0" borderId="0" xfId="1" applyNumberFormat="1" applyFont="1" applyFill="1" applyBorder="1"/>
    <xf numFmtId="9" fontId="9" fillId="0" borderId="0" xfId="1" applyFont="1" applyFill="1" applyBorder="1" applyAlignment="1"/>
    <xf numFmtId="168" fontId="9" fillId="0" borderId="0" xfId="2" applyNumberFormat="1" applyFont="1" applyFill="1" applyBorder="1" applyAlignment="1"/>
    <xf numFmtId="166" fontId="9" fillId="0" borderId="0" xfId="2" applyNumberFormat="1" applyFont="1" applyFill="1" applyAlignment="1"/>
    <xf numFmtId="0" fontId="9" fillId="0" borderId="0" xfId="0" applyFont="1" applyFill="1" applyBorder="1" applyAlignment="1"/>
    <xf numFmtId="2" fontId="9" fillId="0" borderId="0" xfId="0" applyNumberFormat="1" applyFont="1" applyFill="1" applyBorder="1" applyAlignment="1"/>
    <xf numFmtId="0" fontId="9" fillId="7" borderId="0" xfId="0" applyFont="1" applyFill="1" applyAlignment="1"/>
    <xf numFmtId="9" fontId="9" fillId="7" borderId="0" xfId="1" applyFont="1" applyFill="1" applyBorder="1" applyAlignment="1"/>
    <xf numFmtId="9" fontId="9" fillId="7" borderId="0" xfId="1" applyNumberFormat="1" applyFont="1" applyFill="1" applyBorder="1" applyAlignment="1"/>
    <xf numFmtId="43" fontId="15" fillId="0" borderId="0" xfId="4" applyNumberFormat="1" applyFont="1" applyAlignment="1">
      <alignment horizontal="center"/>
    </xf>
    <xf numFmtId="8" fontId="14" fillId="0" borderId="0" xfId="4" applyNumberFormat="1" applyFont="1"/>
    <xf numFmtId="165" fontId="9" fillId="0" borderId="0" xfId="0" applyNumberFormat="1" applyFont="1" applyAlignment="1"/>
    <xf numFmtId="0" fontId="10" fillId="6" borderId="8" xfId="0" applyFont="1" applyFill="1" applyBorder="1" applyAlignment="1">
      <alignment horizontal="left"/>
    </xf>
    <xf numFmtId="164" fontId="0" fillId="0" borderId="0" xfId="0" applyNumberFormat="1"/>
  </cellXfs>
  <cellStyles count="6">
    <cellStyle name="Comma" xfId="2" builtinId="3"/>
    <cellStyle name="Currency" xfId="5" builtinId="4"/>
    <cellStyle name="Hyperlink" xfId="3" builtinId="8"/>
    <cellStyle name="Normal" xfId="0" builtinId="0"/>
    <cellStyle name="Normal 2" xfId="4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ea.govt.nz/dmsdocument/13936" TargetMode="External"/><Relationship Id="rId1" Type="http://schemas.openxmlformats.org/officeDocument/2006/relationships/hyperlink" Target="http://www.sciencedirect.com/science/article/pii/S0301421516306450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tabSelected="1" workbookViewId="0"/>
  </sheetViews>
  <sheetFormatPr defaultRowHeight="15" x14ac:dyDescent="0.25"/>
  <cols>
    <col min="1" max="1" width="85.140625" customWidth="1"/>
  </cols>
  <sheetData>
    <row r="1" spans="1:1" x14ac:dyDescent="0.25">
      <c r="A1" s="130" t="s">
        <v>178</v>
      </c>
    </row>
    <row r="2" spans="1:1" x14ac:dyDescent="0.25">
      <c r="A2" s="129" t="s">
        <v>175</v>
      </c>
    </row>
    <row r="3" spans="1:1" x14ac:dyDescent="0.25">
      <c r="A3" s="129"/>
    </row>
    <row r="4" spans="1:1" ht="30" x14ac:dyDescent="0.25">
      <c r="A4" s="129" t="s">
        <v>176</v>
      </c>
    </row>
    <row r="5" spans="1:1" x14ac:dyDescent="0.25">
      <c r="A5" s="129"/>
    </row>
    <row r="6" spans="1:1" x14ac:dyDescent="0.25">
      <c r="A6" s="129" t="s">
        <v>177</v>
      </c>
    </row>
    <row r="7" spans="1:1" x14ac:dyDescent="0.25">
      <c r="A7" s="129"/>
    </row>
    <row r="8" spans="1:1" ht="45" x14ac:dyDescent="0.25">
      <c r="A8" s="129" t="s">
        <v>180</v>
      </c>
    </row>
    <row r="9" spans="1:1" x14ac:dyDescent="0.25">
      <c r="A9" s="129"/>
    </row>
    <row r="10" spans="1:1" ht="30" x14ac:dyDescent="0.25">
      <c r="A10" s="129" t="s">
        <v>181</v>
      </c>
    </row>
    <row r="12" spans="1:1" ht="30" x14ac:dyDescent="0.25">
      <c r="A12" s="129" t="s">
        <v>182</v>
      </c>
    </row>
    <row r="14" spans="1:1" ht="30" x14ac:dyDescent="0.25">
      <c r="A14" s="129" t="s">
        <v>183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I80"/>
  <sheetViews>
    <sheetView topLeftCell="A37" zoomScale="85" zoomScaleNormal="85" workbookViewId="0">
      <selection activeCell="A30" sqref="A30"/>
    </sheetView>
  </sheetViews>
  <sheetFormatPr defaultColWidth="8.85546875" defaultRowHeight="14.25" x14ac:dyDescent="0.2"/>
  <cols>
    <col min="1" max="1" width="73.85546875" style="21" customWidth="1"/>
    <col min="2" max="2" width="10.5703125" style="21" customWidth="1"/>
    <col min="3" max="7" width="9.28515625" style="21" customWidth="1"/>
    <col min="8" max="8" width="36.7109375" style="21" customWidth="1"/>
    <col min="9" max="16384" width="8.85546875" style="21"/>
  </cols>
  <sheetData>
    <row r="1" spans="1:8" ht="15" x14ac:dyDescent="0.25">
      <c r="A1" s="12"/>
    </row>
    <row r="3" spans="1:8" s="10" customFormat="1" ht="30" x14ac:dyDescent="0.25">
      <c r="A3" s="12" t="s">
        <v>7</v>
      </c>
      <c r="C3" s="11" t="s">
        <v>16</v>
      </c>
      <c r="D3" s="11" t="s">
        <v>8</v>
      </c>
      <c r="E3" s="11" t="s">
        <v>17</v>
      </c>
      <c r="F3" s="11" t="s">
        <v>191</v>
      </c>
      <c r="G3" s="21"/>
      <c r="H3" s="12" t="s">
        <v>6</v>
      </c>
    </row>
    <row r="4" spans="1:8" s="10" customFormat="1" ht="15" x14ac:dyDescent="0.25">
      <c r="A4" s="10" t="s">
        <v>165</v>
      </c>
      <c r="C4" s="13" t="s">
        <v>166</v>
      </c>
      <c r="D4" s="13" t="s">
        <v>166</v>
      </c>
      <c r="E4" s="13" t="s">
        <v>166</v>
      </c>
      <c r="F4" s="145" t="s">
        <v>166</v>
      </c>
      <c r="G4" s="21"/>
      <c r="H4" s="12"/>
    </row>
    <row r="5" spans="1:8" s="10" customFormat="1" x14ac:dyDescent="0.2">
      <c r="A5" s="10" t="s">
        <v>3</v>
      </c>
      <c r="B5" s="10" t="s">
        <v>1</v>
      </c>
      <c r="C5" s="13">
        <v>0.08</v>
      </c>
      <c r="D5" s="13">
        <v>0.06</v>
      </c>
      <c r="E5" s="13">
        <v>0.04</v>
      </c>
      <c r="F5" s="145">
        <f>D5</f>
        <v>0.06</v>
      </c>
      <c r="G5" s="21"/>
      <c r="H5" s="10" t="s">
        <v>12</v>
      </c>
    </row>
    <row r="6" spans="1:8" s="10" customFormat="1" x14ac:dyDescent="0.2">
      <c r="A6" s="10" t="s">
        <v>9</v>
      </c>
      <c r="B6" s="10" t="s">
        <v>2</v>
      </c>
      <c r="C6" s="14">
        <f>$D6</f>
        <v>15</v>
      </c>
      <c r="D6" s="15">
        <v>15</v>
      </c>
      <c r="E6" s="14">
        <f>$D6</f>
        <v>15</v>
      </c>
      <c r="F6" s="146">
        <f t="shared" ref="F6:F67" si="0">D6</f>
        <v>15</v>
      </c>
      <c r="G6" s="21"/>
      <c r="H6" s="10" t="s">
        <v>12</v>
      </c>
    </row>
    <row r="7" spans="1:8" s="10" customFormat="1" x14ac:dyDescent="0.2">
      <c r="A7" s="10" t="s">
        <v>117</v>
      </c>
      <c r="B7" s="10" t="s">
        <v>40</v>
      </c>
      <c r="C7" s="14">
        <f>$D7</f>
        <v>2017</v>
      </c>
      <c r="D7" s="16">
        <v>2017</v>
      </c>
      <c r="E7" s="14">
        <f>$D7</f>
        <v>2017</v>
      </c>
      <c r="F7" s="14">
        <f t="shared" si="0"/>
        <v>2017</v>
      </c>
      <c r="G7" s="21"/>
      <c r="H7" s="21" t="s">
        <v>123</v>
      </c>
    </row>
    <row r="8" spans="1:8" s="10" customFormat="1" x14ac:dyDescent="0.2">
      <c r="A8" s="10" t="s">
        <v>29</v>
      </c>
      <c r="B8" s="10" t="s">
        <v>2</v>
      </c>
      <c r="C8" s="14">
        <f>$D8</f>
        <v>4</v>
      </c>
      <c r="D8" s="15">
        <v>4</v>
      </c>
      <c r="E8" s="14">
        <f>$D8</f>
        <v>4</v>
      </c>
      <c r="F8" s="146">
        <f t="shared" si="0"/>
        <v>4</v>
      </c>
      <c r="G8" s="21"/>
      <c r="H8" s="10" t="s">
        <v>34</v>
      </c>
    </row>
    <row r="9" spans="1:8" s="10" customFormat="1" x14ac:dyDescent="0.2">
      <c r="A9" s="21" t="s">
        <v>83</v>
      </c>
      <c r="B9" s="10" t="s">
        <v>40</v>
      </c>
      <c r="C9" s="21">
        <f>C7+C8</f>
        <v>2021</v>
      </c>
      <c r="D9" s="21">
        <f t="shared" ref="D9:E9" si="1">D7+D8</f>
        <v>2021</v>
      </c>
      <c r="E9" s="21">
        <f t="shared" si="1"/>
        <v>2021</v>
      </c>
      <c r="F9" s="22">
        <f t="shared" si="0"/>
        <v>2021</v>
      </c>
      <c r="G9" s="21"/>
      <c r="H9" s="21"/>
    </row>
    <row r="10" spans="1:8" s="10" customFormat="1" x14ac:dyDescent="0.2">
      <c r="A10" s="21"/>
      <c r="B10" s="21"/>
      <c r="C10" s="21"/>
      <c r="D10" s="21"/>
      <c r="E10" s="22"/>
      <c r="F10" s="22"/>
      <c r="G10" s="21"/>
      <c r="H10" s="21"/>
    </row>
    <row r="11" spans="1:8" x14ac:dyDescent="0.2">
      <c r="A11" s="10" t="s">
        <v>41</v>
      </c>
      <c r="B11" s="10" t="s">
        <v>0</v>
      </c>
      <c r="C11" s="14">
        <f>$D11</f>
        <v>6900</v>
      </c>
      <c r="D11" s="17">
        <v>6900</v>
      </c>
      <c r="E11" s="14">
        <f>$D11</f>
        <v>6900</v>
      </c>
      <c r="F11" s="49">
        <f t="shared" si="0"/>
        <v>6900</v>
      </c>
      <c r="H11" s="21" t="s">
        <v>170</v>
      </c>
    </row>
    <row r="12" spans="1:8" x14ac:dyDescent="0.2">
      <c r="A12" s="10" t="s">
        <v>42</v>
      </c>
      <c r="B12" s="10" t="s">
        <v>0</v>
      </c>
      <c r="C12" s="14">
        <f>$D12</f>
        <v>3740</v>
      </c>
      <c r="D12" s="17">
        <f>1.7*2.2*1000</f>
        <v>3740</v>
      </c>
      <c r="E12" s="14">
        <f>$D12</f>
        <v>3740</v>
      </c>
      <c r="F12" s="49">
        <f t="shared" si="0"/>
        <v>3740</v>
      </c>
      <c r="H12" s="21" t="s">
        <v>193</v>
      </c>
    </row>
    <row r="13" spans="1:8" x14ac:dyDescent="0.2">
      <c r="A13" s="10" t="s">
        <v>55</v>
      </c>
      <c r="B13" s="10" t="s">
        <v>0</v>
      </c>
      <c r="C13" s="14">
        <f>$D13</f>
        <v>3160</v>
      </c>
      <c r="D13" s="17">
        <f>$D$11-$D$12</f>
        <v>3160</v>
      </c>
      <c r="E13" s="14">
        <f>$D13</f>
        <v>3160</v>
      </c>
      <c r="F13" s="49">
        <f t="shared" si="0"/>
        <v>3160</v>
      </c>
      <c r="H13" s="21" t="s">
        <v>171</v>
      </c>
    </row>
    <row r="14" spans="1:8" x14ac:dyDescent="0.2">
      <c r="A14" s="21" t="s">
        <v>43</v>
      </c>
      <c r="B14" s="10" t="s">
        <v>0</v>
      </c>
      <c r="C14" s="14">
        <f>$D14</f>
        <v>400</v>
      </c>
      <c r="D14" s="23">
        <v>400</v>
      </c>
      <c r="E14" s="14">
        <f>$D14</f>
        <v>400</v>
      </c>
      <c r="F14" s="22">
        <f t="shared" si="0"/>
        <v>400</v>
      </c>
      <c r="H14" s="21" t="s">
        <v>123</v>
      </c>
    </row>
    <row r="15" spans="1:8" x14ac:dyDescent="0.2">
      <c r="A15" s="21" t="s">
        <v>44</v>
      </c>
      <c r="B15" s="10" t="s">
        <v>0</v>
      </c>
      <c r="C15" s="14">
        <f>$D15</f>
        <v>50</v>
      </c>
      <c r="D15" s="23">
        <v>50</v>
      </c>
      <c r="E15" s="14">
        <f>$D15</f>
        <v>50</v>
      </c>
      <c r="F15" s="22">
        <f t="shared" si="0"/>
        <v>50</v>
      </c>
      <c r="H15" s="21" t="s">
        <v>123</v>
      </c>
    </row>
    <row r="16" spans="1:8" x14ac:dyDescent="0.2">
      <c r="A16" s="10" t="s">
        <v>30</v>
      </c>
      <c r="B16" s="10" t="s">
        <v>32</v>
      </c>
      <c r="C16" s="18">
        <v>0</v>
      </c>
      <c r="D16" s="19">
        <v>1.0999999999999999E-2</v>
      </c>
      <c r="E16" s="18">
        <v>2.5000000000000001E-2</v>
      </c>
      <c r="F16" s="147">
        <f t="shared" si="0"/>
        <v>1.0999999999999999E-2</v>
      </c>
      <c r="H16" s="10" t="s">
        <v>36</v>
      </c>
    </row>
    <row r="17" spans="1:8" x14ac:dyDescent="0.2">
      <c r="A17" s="10" t="s">
        <v>31</v>
      </c>
      <c r="B17" s="10" t="s">
        <v>32</v>
      </c>
      <c r="C17" s="18">
        <f>+C16</f>
        <v>0</v>
      </c>
      <c r="D17" s="19">
        <f>+D16</f>
        <v>1.0999999999999999E-2</v>
      </c>
      <c r="E17" s="18">
        <f>+E16</f>
        <v>2.5000000000000001E-2</v>
      </c>
      <c r="F17" s="147">
        <f t="shared" si="0"/>
        <v>1.0999999999999999E-2</v>
      </c>
      <c r="H17" s="10" t="s">
        <v>37</v>
      </c>
    </row>
    <row r="18" spans="1:8" x14ac:dyDescent="0.2">
      <c r="F18" s="22"/>
    </row>
    <row r="19" spans="1:8" ht="15" x14ac:dyDescent="0.25">
      <c r="A19" s="12" t="s">
        <v>124</v>
      </c>
      <c r="F19" s="22"/>
    </row>
    <row r="20" spans="1:8" x14ac:dyDescent="0.2">
      <c r="A20" s="24" t="s">
        <v>25</v>
      </c>
      <c r="F20" s="22"/>
    </row>
    <row r="21" spans="1:8" x14ac:dyDescent="0.2">
      <c r="A21" s="25" t="s">
        <v>35</v>
      </c>
      <c r="B21" s="25"/>
      <c r="C21" s="26">
        <v>0.08</v>
      </c>
      <c r="D21" s="27">
        <v>0.1</v>
      </c>
      <c r="E21" s="26">
        <v>0.12</v>
      </c>
      <c r="F21" s="155">
        <v>1.9550000000000001E-2</v>
      </c>
      <c r="G21" s="157"/>
      <c r="H21" s="21" t="s">
        <v>186</v>
      </c>
    </row>
    <row r="22" spans="1:8" x14ac:dyDescent="0.2">
      <c r="A22" s="25" t="s">
        <v>51</v>
      </c>
      <c r="B22" s="25"/>
      <c r="C22" s="26">
        <v>0.95</v>
      </c>
      <c r="D22" s="28">
        <v>1</v>
      </c>
      <c r="E22" s="26">
        <v>1.05</v>
      </c>
      <c r="F22" s="148">
        <f t="shared" si="0"/>
        <v>1</v>
      </c>
      <c r="H22" s="21" t="s">
        <v>112</v>
      </c>
    </row>
    <row r="23" spans="1:8" x14ac:dyDescent="0.2">
      <c r="A23" s="25" t="s">
        <v>185</v>
      </c>
      <c r="B23" s="25" t="s">
        <v>73</v>
      </c>
      <c r="C23" s="29">
        <f>$D$23</f>
        <v>1.2</v>
      </c>
      <c r="D23" s="30">
        <v>1.2</v>
      </c>
      <c r="E23" s="29">
        <f>$D$23</f>
        <v>1.2</v>
      </c>
      <c r="F23" s="149">
        <f t="shared" si="0"/>
        <v>1.2</v>
      </c>
      <c r="H23" s="21" t="s">
        <v>28</v>
      </c>
    </row>
    <row r="24" spans="1:8" x14ac:dyDescent="0.2">
      <c r="F24" s="22"/>
    </row>
    <row r="25" spans="1:8" x14ac:dyDescent="0.2">
      <c r="A25" s="24" t="s">
        <v>190</v>
      </c>
      <c r="F25" s="22"/>
    </row>
    <row r="26" spans="1:8" x14ac:dyDescent="0.2">
      <c r="A26" s="25" t="s">
        <v>141</v>
      </c>
      <c r="B26" s="25" t="s">
        <v>4</v>
      </c>
      <c r="C26" s="31">
        <f>$D26</f>
        <v>300</v>
      </c>
      <c r="D26" s="32">
        <v>300</v>
      </c>
      <c r="E26" s="31">
        <f>$D26</f>
        <v>300</v>
      </c>
      <c r="F26" s="150">
        <f t="shared" si="0"/>
        <v>300</v>
      </c>
    </row>
    <row r="27" spans="1:8" s="25" customFormat="1" ht="13.5" customHeight="1" x14ac:dyDescent="0.25">
      <c r="A27" s="25" t="s">
        <v>148</v>
      </c>
      <c r="B27" s="25" t="s">
        <v>4</v>
      </c>
      <c r="C27" s="31">
        <f>$D27</f>
        <v>550</v>
      </c>
      <c r="D27" s="32">
        <v>550</v>
      </c>
      <c r="E27" s="31">
        <f>$D27</f>
        <v>550</v>
      </c>
      <c r="F27" s="150">
        <f t="shared" si="0"/>
        <v>550</v>
      </c>
      <c r="G27" s="33"/>
      <c r="H27" s="21" t="s">
        <v>187</v>
      </c>
    </row>
    <row r="28" spans="1:8" s="25" customFormat="1" ht="13.5" customHeight="1" x14ac:dyDescent="0.25">
      <c r="A28" s="25" t="s">
        <v>5</v>
      </c>
      <c r="B28" s="25" t="s">
        <v>15</v>
      </c>
      <c r="C28" s="31">
        <f>$D28</f>
        <v>90</v>
      </c>
      <c r="D28" s="34">
        <v>90</v>
      </c>
      <c r="E28" s="31">
        <f>$D28</f>
        <v>90</v>
      </c>
      <c r="F28" s="38">
        <f t="shared" si="0"/>
        <v>90</v>
      </c>
      <c r="G28" s="33"/>
      <c r="H28" s="21" t="s">
        <v>110</v>
      </c>
    </row>
    <row r="29" spans="1:8" x14ac:dyDescent="0.2">
      <c r="F29" s="22"/>
    </row>
    <row r="30" spans="1:8" ht="15" x14ac:dyDescent="0.25">
      <c r="A30" s="12" t="s">
        <v>125</v>
      </c>
      <c r="F30" s="22"/>
    </row>
    <row r="31" spans="1:8" s="25" customFormat="1" ht="15" x14ac:dyDescent="0.25">
      <c r="A31" s="25" t="s">
        <v>93</v>
      </c>
      <c r="B31" s="25" t="s">
        <v>2</v>
      </c>
      <c r="C31" s="34">
        <v>4</v>
      </c>
      <c r="D31" s="35">
        <v>2</v>
      </c>
      <c r="E31" s="34">
        <v>0</v>
      </c>
      <c r="F31" s="151">
        <f t="shared" si="0"/>
        <v>2</v>
      </c>
      <c r="G31" s="33"/>
      <c r="H31" s="21" t="s">
        <v>111</v>
      </c>
    </row>
    <row r="32" spans="1:8" s="25" customFormat="1" ht="15" x14ac:dyDescent="0.25">
      <c r="A32" s="25" t="s">
        <v>184</v>
      </c>
      <c r="C32" s="26">
        <v>0.09</v>
      </c>
      <c r="D32" s="28">
        <v>0.12</v>
      </c>
      <c r="E32" s="26">
        <v>0.15</v>
      </c>
      <c r="F32" s="154">
        <v>0</v>
      </c>
      <c r="G32" s="33"/>
      <c r="H32" s="20" t="s">
        <v>82</v>
      </c>
    </row>
    <row r="33" spans="1:9" s="25" customFormat="1" ht="15" x14ac:dyDescent="0.25">
      <c r="A33" s="25" t="s">
        <v>13</v>
      </c>
      <c r="C33" s="27">
        <v>0.04</v>
      </c>
      <c r="D33" s="27">
        <v>0.05</v>
      </c>
      <c r="E33" s="27">
        <v>0.06</v>
      </c>
      <c r="F33" s="155">
        <v>0</v>
      </c>
      <c r="G33" s="33"/>
      <c r="H33" s="21" t="s">
        <v>123</v>
      </c>
    </row>
    <row r="34" spans="1:9" s="25" customFormat="1" ht="15" x14ac:dyDescent="0.25">
      <c r="C34" s="71"/>
      <c r="D34" s="71"/>
      <c r="E34" s="71"/>
      <c r="F34" s="71"/>
      <c r="G34" s="33"/>
      <c r="H34" s="21"/>
    </row>
    <row r="35" spans="1:9" s="25" customFormat="1" ht="15" x14ac:dyDescent="0.25">
      <c r="A35" s="24" t="s">
        <v>190</v>
      </c>
      <c r="C35" s="71"/>
      <c r="D35" s="71"/>
      <c r="E35" s="71"/>
      <c r="F35" s="71"/>
      <c r="G35" s="33"/>
      <c r="H35" s="21"/>
    </row>
    <row r="36" spans="1:9" s="25" customFormat="1" ht="15" x14ac:dyDescent="0.25">
      <c r="A36" s="25" t="s">
        <v>147</v>
      </c>
      <c r="B36" s="25" t="s">
        <v>4</v>
      </c>
      <c r="C36" s="31">
        <f>$D36</f>
        <v>800</v>
      </c>
      <c r="D36" s="32">
        <v>800</v>
      </c>
      <c r="E36" s="31">
        <f>$D36</f>
        <v>800</v>
      </c>
      <c r="F36" s="150">
        <f t="shared" si="0"/>
        <v>800</v>
      </c>
      <c r="G36" s="33"/>
      <c r="H36" s="21" t="s">
        <v>24</v>
      </c>
    </row>
    <row r="37" spans="1:9" s="25" customFormat="1" ht="15" x14ac:dyDescent="0.25">
      <c r="A37" s="25" t="s">
        <v>5</v>
      </c>
      <c r="B37" s="25" t="s">
        <v>15</v>
      </c>
      <c r="C37" s="31">
        <f>$D37</f>
        <v>90</v>
      </c>
      <c r="D37" s="32">
        <v>90</v>
      </c>
      <c r="E37" s="31">
        <f>$D37</f>
        <v>90</v>
      </c>
      <c r="F37" s="150">
        <f t="shared" si="0"/>
        <v>90</v>
      </c>
      <c r="G37" s="33"/>
      <c r="H37" s="21" t="s">
        <v>110</v>
      </c>
    </row>
    <row r="38" spans="1:9" x14ac:dyDescent="0.2">
      <c r="F38" s="22"/>
    </row>
    <row r="39" spans="1:9" ht="15" x14ac:dyDescent="0.25">
      <c r="A39" s="12" t="s">
        <v>126</v>
      </c>
      <c r="F39" s="22"/>
    </row>
    <row r="40" spans="1:9" s="25" customFormat="1" ht="15" x14ac:dyDescent="0.25">
      <c r="A40" s="25" t="s">
        <v>164</v>
      </c>
      <c r="B40" s="37" t="s">
        <v>0</v>
      </c>
      <c r="C40" s="34">
        <v>0</v>
      </c>
      <c r="D40" s="34">
        <v>50</v>
      </c>
      <c r="E40" s="34">
        <v>75</v>
      </c>
      <c r="F40" s="153">
        <v>0</v>
      </c>
      <c r="G40" s="33"/>
      <c r="H40" s="21" t="s">
        <v>123</v>
      </c>
    </row>
    <row r="41" spans="1:9" s="25" customFormat="1" ht="15" x14ac:dyDescent="0.25">
      <c r="A41" s="25" t="s">
        <v>128</v>
      </c>
      <c r="B41" s="25" t="s">
        <v>74</v>
      </c>
      <c r="C41" s="38">
        <f>Assumptions!C$40*0.02</f>
        <v>0</v>
      </c>
      <c r="D41" s="38">
        <f>Assumptions!D$40*0.02</f>
        <v>1</v>
      </c>
      <c r="E41" s="34">
        <v>2</v>
      </c>
      <c r="F41" s="153">
        <v>0</v>
      </c>
      <c r="G41" s="33"/>
      <c r="H41" s="39" t="s">
        <v>21</v>
      </c>
      <c r="I41" s="25" t="s">
        <v>172</v>
      </c>
    </row>
    <row r="42" spans="1:9" x14ac:dyDescent="0.2">
      <c r="F42" s="22"/>
    </row>
    <row r="43" spans="1:9" ht="15" x14ac:dyDescent="0.25">
      <c r="A43" s="40" t="s">
        <v>97</v>
      </c>
      <c r="B43" s="25"/>
      <c r="C43" s="25"/>
      <c r="D43" s="41"/>
      <c r="E43" s="25"/>
      <c r="F43" s="151"/>
    </row>
    <row r="44" spans="1:9" x14ac:dyDescent="0.2">
      <c r="A44" s="25" t="s">
        <v>64</v>
      </c>
      <c r="B44" s="25" t="s">
        <v>75</v>
      </c>
      <c r="C44" s="42">
        <v>-11</v>
      </c>
      <c r="D44" s="43">
        <v>-8.86</v>
      </c>
      <c r="E44" s="42">
        <v>-7.55</v>
      </c>
      <c r="F44" s="152">
        <f t="shared" si="0"/>
        <v>-8.86</v>
      </c>
      <c r="H44" s="21" t="s">
        <v>94</v>
      </c>
    </row>
    <row r="45" spans="1:9" x14ac:dyDescent="0.2">
      <c r="A45" s="25" t="s">
        <v>66</v>
      </c>
      <c r="B45" s="25" t="s">
        <v>75</v>
      </c>
      <c r="C45" s="42">
        <v>-0.18</v>
      </c>
      <c r="D45" s="43">
        <v>-0.15</v>
      </c>
      <c r="E45" s="42">
        <v>-0.12</v>
      </c>
      <c r="F45" s="152">
        <f t="shared" si="0"/>
        <v>-0.15</v>
      </c>
      <c r="H45" s="21" t="s">
        <v>94</v>
      </c>
      <c r="I45" s="21" t="s">
        <v>173</v>
      </c>
    </row>
    <row r="46" spans="1:9" x14ac:dyDescent="0.2">
      <c r="A46" s="25" t="s">
        <v>65</v>
      </c>
      <c r="B46" s="25" t="s">
        <v>75</v>
      </c>
      <c r="C46" s="42">
        <v>-0.05</v>
      </c>
      <c r="D46" s="43">
        <v>-3.7499999999999999E-2</v>
      </c>
      <c r="E46" s="42">
        <v>-2.5000000000000001E-2</v>
      </c>
      <c r="F46" s="152">
        <f t="shared" si="0"/>
        <v>-3.7499999999999999E-2</v>
      </c>
      <c r="H46" s="21" t="s">
        <v>94</v>
      </c>
    </row>
    <row r="47" spans="1:9" x14ac:dyDescent="0.2">
      <c r="A47" s="25" t="s">
        <v>116</v>
      </c>
      <c r="B47" s="25" t="s">
        <v>2</v>
      </c>
      <c r="C47" s="42">
        <v>1</v>
      </c>
      <c r="D47" s="43">
        <v>1</v>
      </c>
      <c r="E47" s="42">
        <v>1</v>
      </c>
      <c r="F47" s="152">
        <f t="shared" si="0"/>
        <v>1</v>
      </c>
      <c r="H47" s="21" t="s">
        <v>121</v>
      </c>
    </row>
    <row r="48" spans="1:9" x14ac:dyDescent="0.2">
      <c r="F48" s="22"/>
    </row>
    <row r="49" spans="1:8" ht="15" x14ac:dyDescent="0.25">
      <c r="A49" s="40" t="s">
        <v>95</v>
      </c>
      <c r="F49" s="22"/>
    </row>
    <row r="50" spans="1:8" x14ac:dyDescent="0.2">
      <c r="A50" s="25" t="s">
        <v>67</v>
      </c>
      <c r="B50" s="25" t="s">
        <v>74</v>
      </c>
      <c r="C50" s="142">
        <f>$D50</f>
        <v>9.9959999999999997E-3</v>
      </c>
      <c r="D50" s="143">
        <f>833*12/1000000</f>
        <v>9.9959999999999997E-3</v>
      </c>
      <c r="E50" s="142">
        <f>$D50</f>
        <v>9.9959999999999997E-3</v>
      </c>
      <c r="F50" s="144">
        <f t="shared" si="0"/>
        <v>9.9959999999999997E-3</v>
      </c>
      <c r="H50" s="21" t="s">
        <v>105</v>
      </c>
    </row>
    <row r="51" spans="1:8" x14ac:dyDescent="0.2">
      <c r="A51" s="25" t="s">
        <v>68</v>
      </c>
      <c r="B51" s="25" t="s">
        <v>74</v>
      </c>
      <c r="C51" s="142">
        <f>$D51</f>
        <v>2.4E-2</v>
      </c>
      <c r="D51" s="143">
        <f>2000*12/1000000</f>
        <v>2.4E-2</v>
      </c>
      <c r="E51" s="142">
        <f>$D51</f>
        <v>2.4E-2</v>
      </c>
      <c r="F51" s="144">
        <f t="shared" si="0"/>
        <v>2.4E-2</v>
      </c>
      <c r="H51" s="21" t="s">
        <v>105</v>
      </c>
    </row>
    <row r="52" spans="1:8" x14ac:dyDescent="0.2">
      <c r="A52" s="25" t="s">
        <v>69</v>
      </c>
      <c r="B52" s="25" t="s">
        <v>74</v>
      </c>
      <c r="C52" s="142">
        <f>$D52</f>
        <v>0.41561999999999999</v>
      </c>
      <c r="D52" s="143">
        <f>34635*12/1000000</f>
        <v>0.41561999999999999</v>
      </c>
      <c r="E52" s="142">
        <f>$D52</f>
        <v>0.41561999999999999</v>
      </c>
      <c r="F52" s="144">
        <f t="shared" si="0"/>
        <v>0.41561999999999999</v>
      </c>
      <c r="H52" s="21" t="s">
        <v>105</v>
      </c>
    </row>
    <row r="53" spans="1:8" x14ac:dyDescent="0.2">
      <c r="A53" s="25" t="s">
        <v>87</v>
      </c>
      <c r="B53" s="25" t="s">
        <v>74</v>
      </c>
      <c r="C53" s="142">
        <f>$D53</f>
        <v>0</v>
      </c>
      <c r="D53" s="143">
        <v>0</v>
      </c>
      <c r="E53" s="142">
        <f>$D53</f>
        <v>0</v>
      </c>
      <c r="F53" s="144">
        <f t="shared" si="0"/>
        <v>0</v>
      </c>
      <c r="H53" s="21" t="s">
        <v>109</v>
      </c>
    </row>
    <row r="54" spans="1:8" x14ac:dyDescent="0.2">
      <c r="A54" s="25" t="s">
        <v>91</v>
      </c>
      <c r="B54" s="25" t="s">
        <v>74</v>
      </c>
      <c r="C54" s="143">
        <v>-0.2</v>
      </c>
      <c r="D54" s="144">
        <f>AVERAGE(C54,E54)</f>
        <v>-0.15000000000000002</v>
      </c>
      <c r="E54" s="143">
        <v>-0.1</v>
      </c>
      <c r="F54" s="144">
        <f t="shared" si="0"/>
        <v>-0.15000000000000002</v>
      </c>
      <c r="H54" s="21" t="s">
        <v>113</v>
      </c>
    </row>
    <row r="55" spans="1:8" x14ac:dyDescent="0.2">
      <c r="A55" s="25" t="s">
        <v>98</v>
      </c>
      <c r="B55" s="25" t="s">
        <v>74</v>
      </c>
      <c r="C55" s="142">
        <f>$D55</f>
        <v>-0.05</v>
      </c>
      <c r="D55" s="143">
        <f>-150000/3/1000000</f>
        <v>-0.05</v>
      </c>
      <c r="E55" s="142">
        <f>$D55</f>
        <v>-0.05</v>
      </c>
      <c r="F55" s="144">
        <f t="shared" si="0"/>
        <v>-0.05</v>
      </c>
      <c r="H55" s="21" t="s">
        <v>108</v>
      </c>
    </row>
    <row r="56" spans="1:8" x14ac:dyDescent="0.2">
      <c r="A56" s="25" t="s">
        <v>88</v>
      </c>
      <c r="B56" s="25" t="s">
        <v>75</v>
      </c>
      <c r="C56" s="142">
        <f>$D56</f>
        <v>-0.16</v>
      </c>
      <c r="D56" s="143">
        <v>-0.16</v>
      </c>
      <c r="E56" s="142">
        <f>$D56</f>
        <v>-0.16</v>
      </c>
      <c r="F56" s="144">
        <f t="shared" si="0"/>
        <v>-0.16</v>
      </c>
      <c r="H56" s="21" t="s">
        <v>105</v>
      </c>
    </row>
    <row r="57" spans="1:8" x14ac:dyDescent="0.2">
      <c r="A57" s="25" t="s">
        <v>116</v>
      </c>
      <c r="B57" s="25" t="s">
        <v>2</v>
      </c>
      <c r="C57" s="42">
        <v>3</v>
      </c>
      <c r="D57" s="43">
        <v>3</v>
      </c>
      <c r="E57" s="42">
        <v>3</v>
      </c>
      <c r="F57" s="152">
        <f t="shared" si="0"/>
        <v>3</v>
      </c>
      <c r="H57" s="21" t="s">
        <v>122</v>
      </c>
    </row>
    <row r="58" spans="1:8" x14ac:dyDescent="0.2">
      <c r="F58" s="22"/>
    </row>
    <row r="59" spans="1:8" ht="15" x14ac:dyDescent="0.25">
      <c r="A59" s="40" t="s">
        <v>96</v>
      </c>
      <c r="F59" s="22"/>
    </row>
    <row r="60" spans="1:8" x14ac:dyDescent="0.2">
      <c r="A60" s="38" t="s">
        <v>90</v>
      </c>
      <c r="B60" s="25" t="s">
        <v>75</v>
      </c>
      <c r="C60" s="42">
        <f>D60*0.75</f>
        <v>-0.28875000000000001</v>
      </c>
      <c r="D60" s="42">
        <v>-0.38500000000000001</v>
      </c>
      <c r="E60" s="42">
        <f>D60*1.5</f>
        <v>-0.57750000000000001</v>
      </c>
      <c r="F60" s="44">
        <f t="shared" si="0"/>
        <v>-0.38500000000000001</v>
      </c>
      <c r="H60" s="21" t="s">
        <v>107</v>
      </c>
    </row>
    <row r="61" spans="1:8" x14ac:dyDescent="0.2">
      <c r="A61" s="25" t="s">
        <v>86</v>
      </c>
      <c r="B61" s="25" t="s">
        <v>75</v>
      </c>
      <c r="C61" s="42">
        <v>-1</v>
      </c>
      <c r="D61" s="44">
        <f>AVERAGE(C61,E61)</f>
        <v>-0.75</v>
      </c>
      <c r="E61" s="42">
        <v>-0.5</v>
      </c>
      <c r="F61" s="44">
        <f t="shared" si="0"/>
        <v>-0.75</v>
      </c>
      <c r="H61" s="21" t="s">
        <v>106</v>
      </c>
    </row>
    <row r="62" spans="1:8" x14ac:dyDescent="0.2">
      <c r="A62" s="25" t="s">
        <v>89</v>
      </c>
      <c r="B62" s="25" t="s">
        <v>75</v>
      </c>
      <c r="C62" s="42">
        <v>-0.5</v>
      </c>
      <c r="D62" s="44">
        <f>AVERAGE(C62,E62)</f>
        <v>-0.375</v>
      </c>
      <c r="E62" s="42">
        <v>-0.25</v>
      </c>
      <c r="F62" s="44">
        <f t="shared" si="0"/>
        <v>-0.375</v>
      </c>
      <c r="H62" s="21" t="s">
        <v>106</v>
      </c>
    </row>
    <row r="63" spans="1:8" x14ac:dyDescent="0.2">
      <c r="A63" s="25" t="s">
        <v>116</v>
      </c>
      <c r="B63" s="25" t="s">
        <v>2</v>
      </c>
      <c r="C63" s="42">
        <v>1</v>
      </c>
      <c r="D63" s="43">
        <v>1</v>
      </c>
      <c r="E63" s="42">
        <v>1</v>
      </c>
      <c r="F63" s="152">
        <f t="shared" si="0"/>
        <v>1</v>
      </c>
      <c r="H63" s="21" t="s">
        <v>121</v>
      </c>
    </row>
    <row r="64" spans="1:8" x14ac:dyDescent="0.2">
      <c r="F64" s="22"/>
    </row>
    <row r="65" spans="1:8" s="25" customFormat="1" ht="15" x14ac:dyDescent="0.25">
      <c r="A65" s="40" t="s">
        <v>99</v>
      </c>
      <c r="F65" s="38"/>
      <c r="G65" s="33"/>
      <c r="H65" s="36"/>
    </row>
    <row r="66" spans="1:8" x14ac:dyDescent="0.2">
      <c r="A66" s="38" t="s">
        <v>100</v>
      </c>
      <c r="B66" s="25" t="s">
        <v>75</v>
      </c>
      <c r="C66" s="45">
        <v>0</v>
      </c>
      <c r="D66" s="45">
        <v>0</v>
      </c>
      <c r="E66" s="45">
        <v>0</v>
      </c>
      <c r="F66" s="67">
        <f t="shared" si="0"/>
        <v>0</v>
      </c>
      <c r="H66" s="21" t="s">
        <v>123</v>
      </c>
    </row>
    <row r="67" spans="1:8" x14ac:dyDescent="0.2">
      <c r="A67" s="25" t="s">
        <v>116</v>
      </c>
      <c r="B67" s="25" t="s">
        <v>2</v>
      </c>
      <c r="C67" s="42">
        <v>1</v>
      </c>
      <c r="D67" s="43">
        <v>1</v>
      </c>
      <c r="E67" s="42">
        <v>1</v>
      </c>
      <c r="F67" s="152">
        <f t="shared" si="0"/>
        <v>1</v>
      </c>
      <c r="H67" s="21" t="s">
        <v>121</v>
      </c>
    </row>
    <row r="68" spans="1:8" x14ac:dyDescent="0.2">
      <c r="F68" s="22"/>
    </row>
    <row r="80" spans="1:8" x14ac:dyDescent="0.2">
      <c r="A80" s="21">
        <v>0</v>
      </c>
    </row>
  </sheetData>
  <hyperlinks>
    <hyperlink ref="H32" r:id="rId1" display="http://www.sciencedirect.com/science/article/pii/S0301421516306450"/>
    <hyperlink ref="H41" r:id="rId2"/>
  </hyperlinks>
  <pageMargins left="0.75" right="0.75" top="1" bottom="1" header="0.5" footer="0.5"/>
  <pageSetup paperSize="9" orientation="portrait" r:id="rId3"/>
  <headerFooter alignWithMargins="0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B174"/>
  <sheetViews>
    <sheetView zoomScale="55" zoomScaleNormal="55" workbookViewId="0">
      <selection activeCell="C98" sqref="C98"/>
    </sheetView>
  </sheetViews>
  <sheetFormatPr defaultColWidth="8.85546875" defaultRowHeight="15" x14ac:dyDescent="0.25"/>
  <cols>
    <col min="1" max="1" width="78.85546875" style="21" customWidth="1"/>
    <col min="2" max="2" width="9.140625" style="46" customWidth="1"/>
    <col min="3" max="3" width="12.28515625" style="21" customWidth="1"/>
    <col min="4" max="5" width="10.7109375" style="21" customWidth="1"/>
    <col min="6" max="11" width="9.5703125" style="21" customWidth="1"/>
    <col min="12" max="12" width="10" style="21" customWidth="1"/>
    <col min="13" max="14" width="9.5703125" style="21" customWidth="1"/>
    <col min="15" max="15" width="7.7109375" style="21" customWidth="1"/>
    <col min="16" max="16" width="9.7109375" style="21" customWidth="1"/>
    <col min="17" max="26" width="7.7109375" style="21" customWidth="1"/>
    <col min="27" max="16384" width="8.85546875" style="21"/>
  </cols>
  <sheetData>
    <row r="1" spans="1:28" x14ac:dyDescent="0.25"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</row>
    <row r="2" spans="1:28" x14ac:dyDescent="0.25">
      <c r="A2" s="46"/>
      <c r="B2" s="21" t="s">
        <v>114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</row>
    <row r="3" spans="1:28" x14ac:dyDescent="0.25">
      <c r="A3" s="131" t="s">
        <v>179</v>
      </c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</row>
    <row r="4" spans="1:28" x14ac:dyDescent="0.25">
      <c r="A4" s="23" t="s">
        <v>191</v>
      </c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</row>
    <row r="5" spans="1:28" x14ac:dyDescent="0.25"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</row>
    <row r="6" spans="1:28" x14ac:dyDescent="0.25">
      <c r="A6" s="46" t="s">
        <v>40</v>
      </c>
      <c r="C6" s="46" t="s">
        <v>120</v>
      </c>
      <c r="D6" s="46" t="s">
        <v>156</v>
      </c>
      <c r="E6" s="46"/>
      <c r="F6" s="48">
        <v>2015</v>
      </c>
      <c r="G6" s="48">
        <f>F6+1</f>
        <v>2016</v>
      </c>
      <c r="H6" s="48">
        <f>G6+1</f>
        <v>2017</v>
      </c>
      <c r="I6" s="48">
        <f t="shared" ref="I6:U7" si="0">H6+1</f>
        <v>2018</v>
      </c>
      <c r="J6" s="48">
        <f t="shared" si="0"/>
        <v>2019</v>
      </c>
      <c r="K6" s="48">
        <f t="shared" si="0"/>
        <v>2020</v>
      </c>
      <c r="L6" s="48">
        <f t="shared" si="0"/>
        <v>2021</v>
      </c>
      <c r="M6" s="48">
        <f t="shared" si="0"/>
        <v>2022</v>
      </c>
      <c r="N6" s="48">
        <f t="shared" si="0"/>
        <v>2023</v>
      </c>
      <c r="O6" s="48">
        <f t="shared" si="0"/>
        <v>2024</v>
      </c>
      <c r="P6" s="48">
        <f t="shared" si="0"/>
        <v>2025</v>
      </c>
      <c r="Q6" s="48">
        <f t="shared" si="0"/>
        <v>2026</v>
      </c>
      <c r="R6" s="48">
        <f t="shared" si="0"/>
        <v>2027</v>
      </c>
      <c r="S6" s="48">
        <f t="shared" si="0"/>
        <v>2028</v>
      </c>
      <c r="T6" s="48">
        <f t="shared" si="0"/>
        <v>2029</v>
      </c>
      <c r="U6" s="48">
        <f t="shared" si="0"/>
        <v>2030</v>
      </c>
      <c r="V6" s="48">
        <f t="shared" ref="V6:V7" si="1">U6+1</f>
        <v>2031</v>
      </c>
      <c r="W6" s="48">
        <f t="shared" ref="W6:W7" si="2">V6+1</f>
        <v>2032</v>
      </c>
      <c r="X6" s="48">
        <f t="shared" ref="X6:X7" si="3">W6+1</f>
        <v>2033</v>
      </c>
      <c r="Y6" s="48">
        <f t="shared" ref="Y6:Y7" si="4">X6+1</f>
        <v>2034</v>
      </c>
      <c r="Z6" s="48">
        <f t="shared" ref="Z6:Z7" si="5">Y6+1</f>
        <v>2035</v>
      </c>
      <c r="AA6" s="48"/>
      <c r="AB6" s="48"/>
    </row>
    <row r="7" spans="1:28" x14ac:dyDescent="0.25">
      <c r="A7" s="21" t="s">
        <v>142</v>
      </c>
      <c r="C7" s="46"/>
      <c r="D7" s="46" t="str">
        <f ca="1">OFFSET(Assumptions!$C$4,0,MATCH($A$4,scenarios,0)-1)</f>
        <v>End</v>
      </c>
      <c r="E7" s="46"/>
      <c r="F7" s="48"/>
      <c r="G7" s="48"/>
      <c r="H7" s="76">
        <f ca="1">IF($D$7="End",1,IF($D$7="Mid",0.5,NA()))</f>
        <v>1</v>
      </c>
      <c r="I7" s="48">
        <f ca="1">H7+1</f>
        <v>2</v>
      </c>
      <c r="J7" s="48">
        <f ca="1">I7+1</f>
        <v>3</v>
      </c>
      <c r="K7" s="48">
        <f t="shared" ca="1" si="0"/>
        <v>4</v>
      </c>
      <c r="L7" s="48">
        <f t="shared" ca="1" si="0"/>
        <v>5</v>
      </c>
      <c r="M7" s="48">
        <f t="shared" ca="1" si="0"/>
        <v>6</v>
      </c>
      <c r="N7" s="48">
        <f t="shared" ca="1" si="0"/>
        <v>7</v>
      </c>
      <c r="O7" s="48">
        <f t="shared" ca="1" si="0"/>
        <v>8</v>
      </c>
      <c r="P7" s="48">
        <f t="shared" ca="1" si="0"/>
        <v>9</v>
      </c>
      <c r="Q7" s="48">
        <f t="shared" ca="1" si="0"/>
        <v>10</v>
      </c>
      <c r="R7" s="48">
        <f t="shared" ca="1" si="0"/>
        <v>11</v>
      </c>
      <c r="S7" s="48">
        <f t="shared" ca="1" si="0"/>
        <v>12</v>
      </c>
      <c r="T7" s="48">
        <f t="shared" ca="1" si="0"/>
        <v>13</v>
      </c>
      <c r="U7" s="48">
        <f t="shared" ca="1" si="0"/>
        <v>14</v>
      </c>
      <c r="V7" s="48">
        <f t="shared" ca="1" si="1"/>
        <v>15</v>
      </c>
      <c r="W7" s="48">
        <f t="shared" ca="1" si="2"/>
        <v>16</v>
      </c>
      <c r="X7" s="48">
        <f t="shared" ca="1" si="3"/>
        <v>17</v>
      </c>
      <c r="Y7" s="48">
        <f t="shared" ca="1" si="4"/>
        <v>18</v>
      </c>
      <c r="Z7" s="48">
        <f t="shared" ca="1" si="5"/>
        <v>19</v>
      </c>
      <c r="AA7" s="48"/>
      <c r="AB7" s="48"/>
    </row>
    <row r="8" spans="1:28" x14ac:dyDescent="0.25">
      <c r="A8" s="21" t="s">
        <v>143</v>
      </c>
      <c r="C8" s="46"/>
      <c r="D8" s="46"/>
      <c r="E8" s="46"/>
      <c r="F8" s="48"/>
      <c r="G8" s="48"/>
      <c r="H8" s="156">
        <f ca="1">1/(1+OFFSET(Assumptions!$C$5,0,MATCH($A$4,scenarios,0)-1))^H7</f>
        <v>0.94339622641509424</v>
      </c>
      <c r="I8" s="156">
        <f ca="1">1/(1+OFFSET(Assumptions!$C$5,0,MATCH($A$4,scenarios,0)-1))^I7</f>
        <v>0.88999644001423983</v>
      </c>
      <c r="J8" s="156">
        <f ca="1">1/(1+OFFSET(Assumptions!$C$5,0,MATCH($A$4,scenarios,0)-1))^J7</f>
        <v>0.8396192830323016</v>
      </c>
      <c r="K8" s="156">
        <f ca="1">1/(1+OFFSET(Assumptions!$C$5,0,MATCH($A$4,scenarios,0)-1))^K7</f>
        <v>0.79209366323802044</v>
      </c>
      <c r="L8" s="156">
        <f ca="1">1/(1+OFFSET(Assumptions!$C$5,0,MATCH($A$4,scenarios,0)-1))^L7</f>
        <v>0.74725817286605689</v>
      </c>
      <c r="M8" s="156">
        <f ca="1">1/(1+OFFSET(Assumptions!$C$5,0,MATCH($A$4,scenarios,0)-1))^M7</f>
        <v>0.70496054043967626</v>
      </c>
      <c r="N8" s="156">
        <f ca="1">1/(1+OFFSET(Assumptions!$C$5,0,MATCH($A$4,scenarios,0)-1))^N7</f>
        <v>0.66505711362233599</v>
      </c>
      <c r="O8" s="156">
        <f ca="1">1/(1+OFFSET(Assumptions!$C$5,0,MATCH($A$4,scenarios,0)-1))^O7</f>
        <v>0.62741237134182648</v>
      </c>
      <c r="P8" s="156">
        <f ca="1">1/(1+OFFSET(Assumptions!$C$5,0,MATCH($A$4,scenarios,0)-1))^P7</f>
        <v>0.59189846353002495</v>
      </c>
      <c r="Q8" s="156">
        <f ca="1">1/(1+OFFSET(Assumptions!$C$5,0,MATCH($A$4,scenarios,0)-1))^Q7</f>
        <v>0.55839477691511785</v>
      </c>
      <c r="R8" s="156">
        <f ca="1">1/(1+OFFSET(Assumptions!$C$5,0,MATCH($A$4,scenarios,0)-1))^R7</f>
        <v>0.52678752539162055</v>
      </c>
      <c r="S8" s="156">
        <f ca="1">1/(1+OFFSET(Assumptions!$C$5,0,MATCH($A$4,scenarios,0)-1))^S7</f>
        <v>0.4969693635770005</v>
      </c>
      <c r="T8" s="156">
        <f ca="1">1/(1+OFFSET(Assumptions!$C$5,0,MATCH($A$4,scenarios,0)-1))^T7</f>
        <v>0.46883902224245327</v>
      </c>
      <c r="U8" s="156">
        <f ca="1">1/(1+OFFSET(Assumptions!$C$5,0,MATCH($A$4,scenarios,0)-1))^U7</f>
        <v>0.44230096437967292</v>
      </c>
      <c r="V8" s="156">
        <f ca="1">1/(1+OFFSET(Assumptions!$C$5,0,MATCH($A$4,scenarios,0)-1))^V7</f>
        <v>0.41726506073554037</v>
      </c>
      <c r="W8" s="156">
        <f ca="1">1/(1+OFFSET(Assumptions!$C$5,0,MATCH($A$4,scenarios,0)-1))^W7</f>
        <v>0.39364628371277405</v>
      </c>
      <c r="X8" s="156">
        <f ca="1">1/(1+OFFSET(Assumptions!$C$5,0,MATCH($A$4,scenarios,0)-1))^X7</f>
        <v>0.37136441859695657</v>
      </c>
      <c r="Y8" s="156">
        <f ca="1">1/(1+OFFSET(Assumptions!$C$5,0,MATCH($A$4,scenarios,0)-1))^Y7</f>
        <v>0.35034379112920433</v>
      </c>
      <c r="Z8" s="156">
        <f ca="1">1/(1+OFFSET(Assumptions!$C$5,0,MATCH($A$4,scenarios,0)-1))^Z7</f>
        <v>0.3305130104992493</v>
      </c>
      <c r="AA8" s="48"/>
      <c r="AB8" s="48"/>
    </row>
    <row r="9" spans="1:28" x14ac:dyDescent="0.25">
      <c r="A9" s="46"/>
    </row>
    <row r="10" spans="1:28" x14ac:dyDescent="0.25">
      <c r="A10" s="74" t="s">
        <v>129</v>
      </c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</row>
    <row r="11" spans="1:28" x14ac:dyDescent="0.25">
      <c r="A11" s="75" t="s">
        <v>130</v>
      </c>
      <c r="F11" s="47">
        <f ca="1">IF(F$6&gt;=OFFSET(Assumptions!$C$9,0,MATCH($A$4,scenarios,0)-1),1,0)</f>
        <v>0</v>
      </c>
      <c r="G11" s="47">
        <f ca="1">IF(G$6&gt;=OFFSET(Assumptions!$C$9,0,MATCH($A$4,scenarios,0)-1),1,0)</f>
        <v>0</v>
      </c>
      <c r="H11" s="47">
        <f ca="1">IF(H$6&gt;=OFFSET(Assumptions!$C$9,0,MATCH($A$4,scenarios,0)-1),1,0)</f>
        <v>0</v>
      </c>
      <c r="I11" s="47">
        <f ca="1">IF(I$6&gt;=OFFSET(Assumptions!$C$9,0,MATCH($A$4,scenarios,0)-1),1,0)</f>
        <v>0</v>
      </c>
      <c r="J11" s="47">
        <f ca="1">IF(J$6&gt;=OFFSET(Assumptions!$C$9,0,MATCH($A$4,scenarios,0)-1),1,0)</f>
        <v>0</v>
      </c>
      <c r="K11" s="47">
        <f ca="1">IF(K$6&gt;=OFFSET(Assumptions!$C$9,0,MATCH($A$4,scenarios,0)-1),1,0)</f>
        <v>0</v>
      </c>
      <c r="L11" s="47">
        <f ca="1">IF(L$6&gt;=OFFSET(Assumptions!$C$9,0,MATCH($A$4,scenarios,0)-1),1,0)</f>
        <v>1</v>
      </c>
      <c r="M11" s="47">
        <f ca="1">IF(M$6&gt;=OFFSET(Assumptions!$C$9,0,MATCH($A$4,scenarios,0)-1),1,0)</f>
        <v>1</v>
      </c>
      <c r="N11" s="47">
        <f ca="1">IF(N$6&gt;=OFFSET(Assumptions!$C$9,0,MATCH($A$4,scenarios,0)-1),1,0)</f>
        <v>1</v>
      </c>
      <c r="O11" s="47">
        <f ca="1">IF(O$6&gt;=OFFSET(Assumptions!$C$9,0,MATCH($A$4,scenarios,0)-1),1,0)</f>
        <v>1</v>
      </c>
      <c r="P11" s="47">
        <f ca="1">IF(P$6&gt;=OFFSET(Assumptions!$C$9,0,MATCH($A$4,scenarios,0)-1),1,0)</f>
        <v>1</v>
      </c>
      <c r="Q11" s="47">
        <f ca="1">IF(Q$6&gt;=OFFSET(Assumptions!$C$9,0,MATCH($A$4,scenarios,0)-1),1,0)</f>
        <v>1</v>
      </c>
      <c r="R11" s="47">
        <f ca="1">IF(R$6&gt;=OFFSET(Assumptions!$C$9,0,MATCH($A$4,scenarios,0)-1),1,0)</f>
        <v>1</v>
      </c>
      <c r="S11" s="47">
        <f ca="1">IF(S$6&gt;=OFFSET(Assumptions!$C$9,0,MATCH($A$4,scenarios,0)-1),1,0)</f>
        <v>1</v>
      </c>
      <c r="T11" s="47">
        <f ca="1">IF(T$6&gt;=OFFSET(Assumptions!$C$9,0,MATCH($A$4,scenarios,0)-1),1,0)</f>
        <v>1</v>
      </c>
      <c r="U11" s="47">
        <f ca="1">IF(U$6&gt;=OFFSET(Assumptions!$C$9,0,MATCH($A$4,scenarios,0)-1),1,0)</f>
        <v>1</v>
      </c>
      <c r="V11" s="47">
        <f ca="1">IF(V$6&gt;=OFFSET(Assumptions!$C$9,0,MATCH($A$4,scenarios,0)-1),1,0)</f>
        <v>1</v>
      </c>
      <c r="W11" s="47">
        <f ca="1">IF(W$6&gt;=OFFSET(Assumptions!$C$9,0,MATCH($A$4,scenarios,0)-1),1,0)</f>
        <v>1</v>
      </c>
      <c r="X11" s="47">
        <f ca="1">IF(X$6&gt;=OFFSET(Assumptions!$C$9,0,MATCH($A$4,scenarios,0)-1),1,0)</f>
        <v>1</v>
      </c>
      <c r="Y11" s="47">
        <f ca="1">IF(Y$6&gt;=OFFSET(Assumptions!$C$9,0,MATCH($A$4,scenarios,0)-1),1,0)</f>
        <v>1</v>
      </c>
      <c r="Z11" s="47">
        <f ca="1">IF(Z$6&gt;=OFFSET(Assumptions!$C$9,0,MATCH($A$4,scenarios,0)-1),1,0)</f>
        <v>1</v>
      </c>
    </row>
    <row r="12" spans="1:28" x14ac:dyDescent="0.25">
      <c r="A12" s="75" t="s">
        <v>135</v>
      </c>
      <c r="F12" s="47">
        <f ca="1">IF(F$6&gt;=OFFSET(Assumptions!$C$9,0,MATCH($A4,scenarios,0)-1)+OFFSET(Assumptions!$C$31,0,MATCH($A4,scenarios,0)-1),1,0)</f>
        <v>0</v>
      </c>
      <c r="G12" s="47">
        <f ca="1">IF(G$6&gt;=OFFSET(Assumptions!$C$9,0,MATCH($A4,scenarios,0)-1)+OFFSET(Assumptions!$C$31,0,MATCH($A4,scenarios,0)-1),1,0)</f>
        <v>0</v>
      </c>
      <c r="H12" s="47">
        <f ca="1">IF(H$6&gt;=OFFSET(Assumptions!$C$9,0,MATCH($A4,scenarios,0)-1)+OFFSET(Assumptions!$C$31,0,MATCH($A4,scenarios,0)-1),1,0)</f>
        <v>0</v>
      </c>
      <c r="I12" s="47">
        <f ca="1">IF(I$6&gt;=OFFSET(Assumptions!$C$9,0,MATCH($A4,scenarios,0)-1)+OFFSET(Assumptions!$C$31,0,MATCH($A4,scenarios,0)-1),1,0)</f>
        <v>0</v>
      </c>
      <c r="J12" s="47">
        <f ca="1">IF(J$6&gt;=OFFSET(Assumptions!$C$9,0,MATCH($A4,scenarios,0)-1)+OFFSET(Assumptions!$C$31,0,MATCH($A4,scenarios,0)-1),1,0)</f>
        <v>0</v>
      </c>
      <c r="K12" s="47">
        <f ca="1">IF(K$6&gt;=OFFSET(Assumptions!$C$9,0,MATCH($A4,scenarios,0)-1)+OFFSET(Assumptions!$C$31,0,MATCH($A4,scenarios,0)-1),1,0)</f>
        <v>0</v>
      </c>
      <c r="L12" s="47">
        <f ca="1">IF(L$6&gt;=OFFSET(Assumptions!$C$9,0,MATCH($A4,scenarios,0)-1)+OFFSET(Assumptions!$C$31,0,MATCH($A4,scenarios,0)-1),1,0)</f>
        <v>0</v>
      </c>
      <c r="M12" s="47">
        <f ca="1">IF(M$6&gt;=OFFSET(Assumptions!$C$9,0,MATCH($A4,scenarios,0)-1)+OFFSET(Assumptions!$C$31,0,MATCH($A4,scenarios,0)-1),1,0)</f>
        <v>0</v>
      </c>
      <c r="N12" s="47">
        <f ca="1">IF(N$6&gt;=OFFSET(Assumptions!$C$9,0,MATCH($A4,scenarios,0)-1)+OFFSET(Assumptions!$C$31,0,MATCH($A4,scenarios,0)-1),1,0)</f>
        <v>1</v>
      </c>
      <c r="O12" s="47">
        <f ca="1">IF(O$6&gt;=OFFSET(Assumptions!$C$9,0,MATCH($A4,scenarios,0)-1)+OFFSET(Assumptions!$C$31,0,MATCH($A4,scenarios,0)-1),1,0)</f>
        <v>1</v>
      </c>
      <c r="P12" s="47">
        <f ca="1">IF(P$6&gt;=OFFSET(Assumptions!$C$9,0,MATCH($A4,scenarios,0)-1)+OFFSET(Assumptions!$C$31,0,MATCH($A4,scenarios,0)-1),1,0)</f>
        <v>1</v>
      </c>
      <c r="Q12" s="47">
        <f ca="1">IF(Q$6&gt;=OFFSET(Assumptions!$C$9,0,MATCH($A4,scenarios,0)-1)+OFFSET(Assumptions!$C$31,0,MATCH($A4,scenarios,0)-1),1,0)</f>
        <v>1</v>
      </c>
      <c r="R12" s="47">
        <f ca="1">IF(R$6&gt;=OFFSET(Assumptions!$C$9,0,MATCH($A4,scenarios,0)-1)+OFFSET(Assumptions!$C$31,0,MATCH($A4,scenarios,0)-1),1,0)</f>
        <v>1</v>
      </c>
      <c r="S12" s="47">
        <f ca="1">IF(S$6&gt;=OFFSET(Assumptions!$C$9,0,MATCH($A4,scenarios,0)-1)+OFFSET(Assumptions!$C$31,0,MATCH($A4,scenarios,0)-1),1,0)</f>
        <v>1</v>
      </c>
      <c r="T12" s="47">
        <f ca="1">IF(T$6&gt;=OFFSET(Assumptions!$C$9,0,MATCH($A4,scenarios,0)-1)+OFFSET(Assumptions!$C$31,0,MATCH($A4,scenarios,0)-1),1,0)</f>
        <v>1</v>
      </c>
      <c r="U12" s="47">
        <f ca="1">IF(U$6&gt;=OFFSET(Assumptions!$C$9,0,MATCH($A4,scenarios,0)-1)+OFFSET(Assumptions!$C$31,0,MATCH($A4,scenarios,0)-1),1,0)</f>
        <v>1</v>
      </c>
      <c r="V12" s="47">
        <f ca="1">IF(V$6&gt;=OFFSET(Assumptions!$C$9,0,MATCH($A4,scenarios,0)-1)+OFFSET(Assumptions!$C$31,0,MATCH($A4,scenarios,0)-1),1,0)</f>
        <v>1</v>
      </c>
      <c r="W12" s="47">
        <f ca="1">IF(W$6&gt;=OFFSET(Assumptions!$C$9,0,MATCH($A4,scenarios,0)-1)+OFFSET(Assumptions!$C$31,0,MATCH($A4,scenarios,0)-1),1,0)</f>
        <v>1</v>
      </c>
      <c r="X12" s="47">
        <f ca="1">IF(X$6&gt;=OFFSET(Assumptions!$C$9,0,MATCH($A4,scenarios,0)-1)+OFFSET(Assumptions!$C$31,0,MATCH($A4,scenarios,0)-1),1,0)</f>
        <v>1</v>
      </c>
      <c r="Y12" s="47">
        <f ca="1">IF(Y$6&gt;=OFFSET(Assumptions!$C$9,0,MATCH($A4,scenarios,0)-1)+OFFSET(Assumptions!$C$31,0,MATCH($A4,scenarios,0)-1),1,0)</f>
        <v>1</v>
      </c>
      <c r="Z12" s="47">
        <f ca="1">IF(Z$6&gt;=OFFSET(Assumptions!$C$9,0,MATCH($A4,scenarios,0)-1)+OFFSET(Assumptions!$C$31,0,MATCH($A4,scenarios,0)-1),1,0)</f>
        <v>1</v>
      </c>
    </row>
    <row r="13" spans="1:28" x14ac:dyDescent="0.25">
      <c r="A13" s="75" t="s">
        <v>131</v>
      </c>
      <c r="F13" s="47">
        <f ca="1">IF(F$6=OFFSET(Assumptions!$C$7,0,MATCH($A4,scenarios,0)-1)+OFFSET(Assumptions!$C$47,0,MATCH($A4,scenarios,0)-1),1,0)</f>
        <v>0</v>
      </c>
      <c r="G13" s="47">
        <f ca="1">IF(G$6=OFFSET(Assumptions!$C$7,0,MATCH($A4,scenarios,0)-1)+OFFSET(Assumptions!$C$47,0,MATCH($A4,scenarios,0)-1),1,0)</f>
        <v>0</v>
      </c>
      <c r="H13" s="47">
        <f ca="1">IF(H$6=OFFSET(Assumptions!$C$7,0,MATCH($A4,scenarios,0)-1)+OFFSET(Assumptions!$C$47,0,MATCH($A4,scenarios,0)-1),1,0)</f>
        <v>0</v>
      </c>
      <c r="I13" s="47">
        <f ca="1">IF(I$6=OFFSET(Assumptions!$C$7,0,MATCH($A4,scenarios,0)-1)+OFFSET(Assumptions!$C$47,0,MATCH($A4,scenarios,0)-1),1,0)</f>
        <v>1</v>
      </c>
      <c r="J13" s="47">
        <f ca="1">IF(J$6=OFFSET(Assumptions!$C$7,0,MATCH($A4,scenarios,0)-1)+OFFSET(Assumptions!$C$47,0,MATCH($A4,scenarios,0)-1),1,0)</f>
        <v>0</v>
      </c>
      <c r="K13" s="47">
        <f ca="1">IF(K$6=OFFSET(Assumptions!$C$7,0,MATCH($A4,scenarios,0)-1)+OFFSET(Assumptions!$C$47,0,MATCH($A4,scenarios,0)-1),1,0)</f>
        <v>0</v>
      </c>
      <c r="L13" s="47">
        <f ca="1">IF(L$6=OFFSET(Assumptions!$C$7,0,MATCH($A4,scenarios,0)-1)+OFFSET(Assumptions!$C$47,0,MATCH($A4,scenarios,0)-1),1,0)</f>
        <v>0</v>
      </c>
      <c r="M13" s="47">
        <f ca="1">IF(M$6=OFFSET(Assumptions!$C$7,0,MATCH($A4,scenarios,0)-1)+OFFSET(Assumptions!$C$47,0,MATCH($A4,scenarios,0)-1),1,0)</f>
        <v>0</v>
      </c>
      <c r="N13" s="47">
        <f ca="1">IF(N$6=OFFSET(Assumptions!$C$7,0,MATCH($A4,scenarios,0)-1)+OFFSET(Assumptions!$C$47,0,MATCH($A4,scenarios,0)-1),1,0)</f>
        <v>0</v>
      </c>
      <c r="O13" s="47">
        <f ca="1">IF(O$6=OFFSET(Assumptions!$C$7,0,MATCH($A4,scenarios,0)-1)+OFFSET(Assumptions!$C$47,0,MATCH($A4,scenarios,0)-1),1,0)</f>
        <v>0</v>
      </c>
      <c r="P13" s="47">
        <f ca="1">IF(P$6=OFFSET(Assumptions!$C$7,0,MATCH($A4,scenarios,0)-1)+OFFSET(Assumptions!$C$47,0,MATCH($A4,scenarios,0)-1),1,0)</f>
        <v>0</v>
      </c>
      <c r="Q13" s="47">
        <f ca="1">IF(Q$6=OFFSET(Assumptions!$C$7,0,MATCH($A4,scenarios,0)-1)+OFFSET(Assumptions!$C$47,0,MATCH($A4,scenarios,0)-1),1,0)</f>
        <v>0</v>
      </c>
      <c r="R13" s="47">
        <f ca="1">IF(R$6=OFFSET(Assumptions!$C$7,0,MATCH($A4,scenarios,0)-1)+OFFSET(Assumptions!$C$47,0,MATCH($A4,scenarios,0)-1),1,0)</f>
        <v>0</v>
      </c>
      <c r="S13" s="47">
        <f ca="1">IF(S$6=OFFSET(Assumptions!$C$7,0,MATCH($A4,scenarios,0)-1)+OFFSET(Assumptions!$C$47,0,MATCH($A4,scenarios,0)-1),1,0)</f>
        <v>0</v>
      </c>
      <c r="T13" s="47">
        <f ca="1">IF(T$6=OFFSET(Assumptions!$C$7,0,MATCH($A4,scenarios,0)-1)+OFFSET(Assumptions!$C$47,0,MATCH($A4,scenarios,0)-1),1,0)</f>
        <v>0</v>
      </c>
      <c r="U13" s="47">
        <f ca="1">IF(U$6=OFFSET(Assumptions!$C$7,0,MATCH($A4,scenarios,0)-1)+OFFSET(Assumptions!$C$47,0,MATCH($A4,scenarios,0)-1),1,0)</f>
        <v>0</v>
      </c>
      <c r="V13" s="47">
        <f ca="1">IF(V$6=OFFSET(Assumptions!$C$7,0,MATCH($A4,scenarios,0)-1)+OFFSET(Assumptions!$C$47,0,MATCH($A4,scenarios,0)-1),1,0)</f>
        <v>0</v>
      </c>
      <c r="W13" s="47">
        <f ca="1">IF(W$6=OFFSET(Assumptions!$C$7,0,MATCH($A4,scenarios,0)-1)+OFFSET(Assumptions!$C$47,0,MATCH($A4,scenarios,0)-1),1,0)</f>
        <v>0</v>
      </c>
      <c r="X13" s="47">
        <f ca="1">IF(X$6=OFFSET(Assumptions!$C$7,0,MATCH($A4,scenarios,0)-1)+OFFSET(Assumptions!$C$47,0,MATCH($A4,scenarios,0)-1),1,0)</f>
        <v>0</v>
      </c>
      <c r="Y13" s="47">
        <f ca="1">IF(Y$6=OFFSET(Assumptions!$C$7,0,MATCH($A4,scenarios,0)-1)+OFFSET(Assumptions!$C$47,0,MATCH($A4,scenarios,0)-1),1,0)</f>
        <v>0</v>
      </c>
      <c r="Z13" s="47">
        <f ca="1">IF(Z$6=OFFSET(Assumptions!$C$7,0,MATCH($A4,scenarios,0)-1)+OFFSET(Assumptions!$C$47,0,MATCH($A4,scenarios,0)-1),1,0)</f>
        <v>0</v>
      </c>
    </row>
    <row r="14" spans="1:28" x14ac:dyDescent="0.25">
      <c r="A14" s="75" t="s">
        <v>132</v>
      </c>
      <c r="F14" s="47">
        <f ca="1">IF(F$6=OFFSET(Assumptions!$C$7,0,MATCH($A4,scenarios,0)-1)+OFFSET(Assumptions!$C$57,0,MATCH($A4,scenarios,0)-1),1,0)</f>
        <v>0</v>
      </c>
      <c r="G14" s="47">
        <f ca="1">IF(G$6=OFFSET(Assumptions!$C$7,0,MATCH($A4,scenarios,0)-1)+OFFSET(Assumptions!$C$57,0,MATCH($A4,scenarios,0)-1),1,0)</f>
        <v>0</v>
      </c>
      <c r="H14" s="47">
        <f ca="1">IF(H$6=OFFSET(Assumptions!$C$7,0,MATCH($A4,scenarios,0)-1)+OFFSET(Assumptions!$C$57,0,MATCH($A4,scenarios,0)-1),1,0)</f>
        <v>0</v>
      </c>
      <c r="I14" s="47">
        <f ca="1">IF(I$6=OFFSET(Assumptions!$C$7,0,MATCH($A4,scenarios,0)-1)+OFFSET(Assumptions!$C$57,0,MATCH($A4,scenarios,0)-1),1,0)</f>
        <v>0</v>
      </c>
      <c r="J14" s="47">
        <f ca="1">IF(J$6=OFFSET(Assumptions!$C$7,0,MATCH($A4,scenarios,0)-1)+OFFSET(Assumptions!$C$57,0,MATCH($A4,scenarios,0)-1),1,0)</f>
        <v>0</v>
      </c>
      <c r="K14" s="47">
        <f ca="1">IF(K$6=OFFSET(Assumptions!$C$7,0,MATCH($A4,scenarios,0)-1)+OFFSET(Assumptions!$C$57,0,MATCH($A4,scenarios,0)-1),1,0)</f>
        <v>1</v>
      </c>
      <c r="L14" s="47">
        <f ca="1">IF(L$6=OFFSET(Assumptions!$C$7,0,MATCH($A4,scenarios,0)-1)+OFFSET(Assumptions!$C$57,0,MATCH($A4,scenarios,0)-1),1,0)</f>
        <v>0</v>
      </c>
      <c r="M14" s="47">
        <f ca="1">IF(M$6=OFFSET(Assumptions!$C$7,0,MATCH($A4,scenarios,0)-1)+OFFSET(Assumptions!$C$57,0,MATCH($A4,scenarios,0)-1),1,0)</f>
        <v>0</v>
      </c>
      <c r="N14" s="47">
        <f ca="1">IF(N$6=OFFSET(Assumptions!$C$7,0,MATCH($A4,scenarios,0)-1)+OFFSET(Assumptions!$C$57,0,MATCH($A4,scenarios,0)-1),1,0)</f>
        <v>0</v>
      </c>
      <c r="O14" s="47">
        <f ca="1">IF(O$6=OFFSET(Assumptions!$C$7,0,MATCH($A4,scenarios,0)-1)+OFFSET(Assumptions!$C$57,0,MATCH($A4,scenarios,0)-1),1,0)</f>
        <v>0</v>
      </c>
      <c r="P14" s="47">
        <f ca="1">IF(P$6=OFFSET(Assumptions!$C$7,0,MATCH($A4,scenarios,0)-1)+OFFSET(Assumptions!$C$57,0,MATCH($A4,scenarios,0)-1),1,0)</f>
        <v>0</v>
      </c>
      <c r="Q14" s="47">
        <f ca="1">IF(Q$6=OFFSET(Assumptions!$C$7,0,MATCH($A4,scenarios,0)-1)+OFFSET(Assumptions!$C$57,0,MATCH($A4,scenarios,0)-1),1,0)</f>
        <v>0</v>
      </c>
      <c r="R14" s="47">
        <f ca="1">IF(R$6=OFFSET(Assumptions!$C$7,0,MATCH($A4,scenarios,0)-1)+OFFSET(Assumptions!$C$57,0,MATCH($A4,scenarios,0)-1),1,0)</f>
        <v>0</v>
      </c>
      <c r="S14" s="47">
        <f ca="1">IF(S$6=OFFSET(Assumptions!$C$7,0,MATCH($A4,scenarios,0)-1)+OFFSET(Assumptions!$C$57,0,MATCH($A4,scenarios,0)-1),1,0)</f>
        <v>0</v>
      </c>
      <c r="T14" s="47">
        <f ca="1">IF(T$6=OFFSET(Assumptions!$C$7,0,MATCH($A4,scenarios,0)-1)+OFFSET(Assumptions!$C$57,0,MATCH($A4,scenarios,0)-1),1,0)</f>
        <v>0</v>
      </c>
      <c r="U14" s="47">
        <f ca="1">IF(U$6=OFFSET(Assumptions!$C$7,0,MATCH($A4,scenarios,0)-1)+OFFSET(Assumptions!$C$57,0,MATCH($A4,scenarios,0)-1),1,0)</f>
        <v>0</v>
      </c>
      <c r="V14" s="47">
        <f ca="1">IF(V$6=OFFSET(Assumptions!$C$7,0,MATCH($A4,scenarios,0)-1)+OFFSET(Assumptions!$C$57,0,MATCH($A4,scenarios,0)-1),1,0)</f>
        <v>0</v>
      </c>
      <c r="W14" s="47">
        <f ca="1">IF(W$6=OFFSET(Assumptions!$C$7,0,MATCH($A4,scenarios,0)-1)+OFFSET(Assumptions!$C$57,0,MATCH($A4,scenarios,0)-1),1,0)</f>
        <v>0</v>
      </c>
      <c r="X14" s="47">
        <f ca="1">IF(X$6=OFFSET(Assumptions!$C$7,0,MATCH($A4,scenarios,0)-1)+OFFSET(Assumptions!$C$57,0,MATCH($A4,scenarios,0)-1),1,0)</f>
        <v>0</v>
      </c>
      <c r="Y14" s="47">
        <f ca="1">IF(Y$6=OFFSET(Assumptions!$C$7,0,MATCH($A4,scenarios,0)-1)+OFFSET(Assumptions!$C$57,0,MATCH($A4,scenarios,0)-1),1,0)</f>
        <v>0</v>
      </c>
      <c r="Z14" s="47">
        <f ca="1">IF(Z$6=OFFSET(Assumptions!$C$7,0,MATCH($A4,scenarios,0)-1)+OFFSET(Assumptions!$C$57,0,MATCH($A4,scenarios,0)-1),1,0)</f>
        <v>0</v>
      </c>
    </row>
    <row r="15" spans="1:28" x14ac:dyDescent="0.25">
      <c r="A15" s="75" t="s">
        <v>133</v>
      </c>
      <c r="F15" s="47">
        <f ca="1">IF(F$6=OFFSET(Assumptions!$C$7,0,MATCH($A4,scenarios,0)-1)+OFFSET(Assumptions!$C$63,0,MATCH($A4,scenarios,0)-1),1,0)</f>
        <v>0</v>
      </c>
      <c r="G15" s="47">
        <f ca="1">IF(G$6=OFFSET(Assumptions!$C$7,0,MATCH($A4,scenarios,0)-1)+OFFSET(Assumptions!$C$63,0,MATCH($A4,scenarios,0)-1),1,0)</f>
        <v>0</v>
      </c>
      <c r="H15" s="47">
        <f ca="1">IF(H$6=OFFSET(Assumptions!$C$7,0,MATCH($A4,scenarios,0)-1)+OFFSET(Assumptions!$C$63,0,MATCH($A4,scenarios,0)-1),1,0)</f>
        <v>0</v>
      </c>
      <c r="I15" s="47">
        <f ca="1">IF(I$6=OFFSET(Assumptions!$C$7,0,MATCH($A4,scenarios,0)-1)+OFFSET(Assumptions!$C$63,0,MATCH($A4,scenarios,0)-1),1,0)</f>
        <v>1</v>
      </c>
      <c r="J15" s="47">
        <f ca="1">IF(J$6=OFFSET(Assumptions!$C$7,0,MATCH($A4,scenarios,0)-1)+OFFSET(Assumptions!$C$63,0,MATCH($A4,scenarios,0)-1),1,0)</f>
        <v>0</v>
      </c>
      <c r="K15" s="47">
        <f ca="1">IF(K$6=OFFSET(Assumptions!$C$7,0,MATCH($A4,scenarios,0)-1)+OFFSET(Assumptions!$C$63,0,MATCH($A4,scenarios,0)-1),1,0)</f>
        <v>0</v>
      </c>
      <c r="L15" s="47">
        <f ca="1">IF(L$6=OFFSET(Assumptions!$C$7,0,MATCH($A4,scenarios,0)-1)+OFFSET(Assumptions!$C$63,0,MATCH($A4,scenarios,0)-1),1,0)</f>
        <v>0</v>
      </c>
      <c r="M15" s="47">
        <f ca="1">IF(M$6=OFFSET(Assumptions!$C$7,0,MATCH($A4,scenarios,0)-1)+OFFSET(Assumptions!$C$63,0,MATCH($A4,scenarios,0)-1),1,0)</f>
        <v>0</v>
      </c>
      <c r="N15" s="47">
        <f ca="1">IF(N$6=OFFSET(Assumptions!$C$7,0,MATCH($A4,scenarios,0)-1)+OFFSET(Assumptions!$C$63,0,MATCH($A4,scenarios,0)-1),1,0)</f>
        <v>0</v>
      </c>
      <c r="O15" s="47">
        <f ca="1">IF(O$6=OFFSET(Assumptions!$C$7,0,MATCH($A4,scenarios,0)-1)+OFFSET(Assumptions!$C$63,0,MATCH($A4,scenarios,0)-1),1,0)</f>
        <v>0</v>
      </c>
      <c r="P15" s="47">
        <f ca="1">IF(P$6=OFFSET(Assumptions!$C$7,0,MATCH($A4,scenarios,0)-1)+OFFSET(Assumptions!$C$63,0,MATCH($A4,scenarios,0)-1),1,0)</f>
        <v>0</v>
      </c>
      <c r="Q15" s="47">
        <f ca="1">IF(Q$6=OFFSET(Assumptions!$C$7,0,MATCH($A4,scenarios,0)-1)+OFFSET(Assumptions!$C$63,0,MATCH($A4,scenarios,0)-1),1,0)</f>
        <v>0</v>
      </c>
      <c r="R15" s="47">
        <f ca="1">IF(R$6=OFFSET(Assumptions!$C$7,0,MATCH($A4,scenarios,0)-1)+OFFSET(Assumptions!$C$63,0,MATCH($A4,scenarios,0)-1),1,0)</f>
        <v>0</v>
      </c>
      <c r="S15" s="47">
        <f ca="1">IF(S$6=OFFSET(Assumptions!$C$7,0,MATCH($A4,scenarios,0)-1)+OFFSET(Assumptions!$C$63,0,MATCH($A4,scenarios,0)-1),1,0)</f>
        <v>0</v>
      </c>
      <c r="T15" s="47">
        <f ca="1">IF(T$6=OFFSET(Assumptions!$C$7,0,MATCH($A4,scenarios,0)-1)+OFFSET(Assumptions!$C$63,0,MATCH($A4,scenarios,0)-1),1,0)</f>
        <v>0</v>
      </c>
      <c r="U15" s="47">
        <f ca="1">IF(U$6=OFFSET(Assumptions!$C$7,0,MATCH($A4,scenarios,0)-1)+OFFSET(Assumptions!$C$63,0,MATCH($A4,scenarios,0)-1),1,0)</f>
        <v>0</v>
      </c>
      <c r="V15" s="47">
        <f ca="1">IF(V$6=OFFSET(Assumptions!$C$7,0,MATCH($A4,scenarios,0)-1)+OFFSET(Assumptions!$C$63,0,MATCH($A4,scenarios,0)-1),1,0)</f>
        <v>0</v>
      </c>
      <c r="W15" s="47">
        <f ca="1">IF(W$6=OFFSET(Assumptions!$C$7,0,MATCH($A4,scenarios,0)-1)+OFFSET(Assumptions!$C$63,0,MATCH($A4,scenarios,0)-1),1,0)</f>
        <v>0</v>
      </c>
      <c r="X15" s="47">
        <f ca="1">IF(X$6=OFFSET(Assumptions!$C$7,0,MATCH($A4,scenarios,0)-1)+OFFSET(Assumptions!$C$63,0,MATCH($A4,scenarios,0)-1),1,0)</f>
        <v>0</v>
      </c>
      <c r="Y15" s="47">
        <f ca="1">IF(Y$6=OFFSET(Assumptions!$C$7,0,MATCH($A4,scenarios,0)-1)+OFFSET(Assumptions!$C$63,0,MATCH($A4,scenarios,0)-1),1,0)</f>
        <v>0</v>
      </c>
      <c r="Z15" s="47">
        <f ca="1">IF(Z$6=OFFSET(Assumptions!$C$7,0,MATCH($A4,scenarios,0)-1)+OFFSET(Assumptions!$C$63,0,MATCH($A4,scenarios,0)-1),1,0)</f>
        <v>0</v>
      </c>
    </row>
    <row r="16" spans="1:28" x14ac:dyDescent="0.25">
      <c r="A16" s="75" t="s">
        <v>134</v>
      </c>
      <c r="F16" s="47">
        <f ca="1">IF(F$6=OFFSET(Assumptions!$C$7,0,MATCH($A4,scenarios,0)-1)+OFFSET(Assumptions!$C$67,0,MATCH($A4,scenarios,0)-1),1,0)</f>
        <v>0</v>
      </c>
      <c r="G16" s="47">
        <f ca="1">IF(G$6=OFFSET(Assumptions!$C$7,0,MATCH($A4,scenarios,0)-1)+OFFSET(Assumptions!$C$67,0,MATCH($A4,scenarios,0)-1),1,0)</f>
        <v>0</v>
      </c>
      <c r="H16" s="47">
        <f ca="1">IF(H$6=OFFSET(Assumptions!$C$7,0,MATCH($A4,scenarios,0)-1)+OFFSET(Assumptions!$C$67,0,MATCH($A4,scenarios,0)-1),1,0)</f>
        <v>0</v>
      </c>
      <c r="I16" s="47">
        <f ca="1">IF(I$6=OFFSET(Assumptions!$C$7,0,MATCH($A4,scenarios,0)-1)+OFFSET(Assumptions!$C$67,0,MATCH($A4,scenarios,0)-1),1,0)</f>
        <v>1</v>
      </c>
      <c r="J16" s="47">
        <f ca="1">IF(J$6=OFFSET(Assumptions!$C$7,0,MATCH($A4,scenarios,0)-1)+OFFSET(Assumptions!$C$67,0,MATCH($A4,scenarios,0)-1),1,0)</f>
        <v>0</v>
      </c>
      <c r="K16" s="47">
        <f ca="1">IF(K$6=OFFSET(Assumptions!$C$7,0,MATCH($A4,scenarios,0)-1)+OFFSET(Assumptions!$C$67,0,MATCH($A4,scenarios,0)-1),1,0)</f>
        <v>0</v>
      </c>
      <c r="L16" s="47">
        <f ca="1">IF(L$6=OFFSET(Assumptions!$C$7,0,MATCH($A4,scenarios,0)-1)+OFFSET(Assumptions!$C$67,0,MATCH($A4,scenarios,0)-1),1,0)</f>
        <v>0</v>
      </c>
      <c r="M16" s="47">
        <f ca="1">IF(M$6=OFFSET(Assumptions!$C$7,0,MATCH($A4,scenarios,0)-1)+OFFSET(Assumptions!$C$67,0,MATCH($A4,scenarios,0)-1),1,0)</f>
        <v>0</v>
      </c>
      <c r="N16" s="47">
        <f ca="1">IF(N$6=OFFSET(Assumptions!$C$7,0,MATCH($A4,scenarios,0)-1)+OFFSET(Assumptions!$C$67,0,MATCH($A4,scenarios,0)-1),1,0)</f>
        <v>0</v>
      </c>
      <c r="O16" s="47">
        <f ca="1">IF(O$6=OFFSET(Assumptions!$C$7,0,MATCH($A4,scenarios,0)-1)+OFFSET(Assumptions!$C$67,0,MATCH($A4,scenarios,0)-1),1,0)</f>
        <v>0</v>
      </c>
      <c r="P16" s="47">
        <f ca="1">IF(P$6=OFFSET(Assumptions!$C$7,0,MATCH($A4,scenarios,0)-1)+OFFSET(Assumptions!$C$67,0,MATCH($A4,scenarios,0)-1),1,0)</f>
        <v>0</v>
      </c>
      <c r="Q16" s="47">
        <f ca="1">IF(Q$6=OFFSET(Assumptions!$C$7,0,MATCH($A4,scenarios,0)-1)+OFFSET(Assumptions!$C$67,0,MATCH($A4,scenarios,0)-1),1,0)</f>
        <v>0</v>
      </c>
      <c r="R16" s="47">
        <f ca="1">IF(R$6=OFFSET(Assumptions!$C$7,0,MATCH($A4,scenarios,0)-1)+OFFSET(Assumptions!$C$67,0,MATCH($A4,scenarios,0)-1),1,0)</f>
        <v>0</v>
      </c>
      <c r="S16" s="47">
        <f ca="1">IF(S$6=OFFSET(Assumptions!$C$7,0,MATCH($A4,scenarios,0)-1)+OFFSET(Assumptions!$C$67,0,MATCH($A4,scenarios,0)-1),1,0)</f>
        <v>0</v>
      </c>
      <c r="T16" s="47">
        <f ca="1">IF(T$6=OFFSET(Assumptions!$C$7,0,MATCH($A4,scenarios,0)-1)+OFFSET(Assumptions!$C$67,0,MATCH($A4,scenarios,0)-1),1,0)</f>
        <v>0</v>
      </c>
      <c r="U16" s="47">
        <f ca="1">IF(U$6=OFFSET(Assumptions!$C$7,0,MATCH($A4,scenarios,0)-1)+OFFSET(Assumptions!$C$67,0,MATCH($A4,scenarios,0)-1),1,0)</f>
        <v>0</v>
      </c>
      <c r="V16" s="47">
        <f ca="1">IF(V$6=OFFSET(Assumptions!$C$7,0,MATCH($A4,scenarios,0)-1)+OFFSET(Assumptions!$C$67,0,MATCH($A4,scenarios,0)-1),1,0)</f>
        <v>0</v>
      </c>
      <c r="W16" s="47">
        <f ca="1">IF(W$6=OFFSET(Assumptions!$C$7,0,MATCH($A4,scenarios,0)-1)+OFFSET(Assumptions!$C$67,0,MATCH($A4,scenarios,0)-1),1,0)</f>
        <v>0</v>
      </c>
      <c r="X16" s="47">
        <f ca="1">IF(X$6=OFFSET(Assumptions!$C$7,0,MATCH($A4,scenarios,0)-1)+OFFSET(Assumptions!$C$67,0,MATCH($A4,scenarios,0)-1),1,0)</f>
        <v>0</v>
      </c>
      <c r="Y16" s="47">
        <f ca="1">IF(Y$6=OFFSET(Assumptions!$C$7,0,MATCH($A4,scenarios,0)-1)+OFFSET(Assumptions!$C$67,0,MATCH($A4,scenarios,0)-1),1,0)</f>
        <v>0</v>
      </c>
      <c r="Z16" s="47">
        <f ca="1">IF(Z$6=OFFSET(Assumptions!$C$7,0,MATCH($A4,scenarios,0)-1)+OFFSET(Assumptions!$C$67,0,MATCH($A4,scenarios,0)-1),1,0)</f>
        <v>0</v>
      </c>
    </row>
    <row r="17" spans="1:27" x14ac:dyDescent="0.25"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</row>
    <row r="18" spans="1:27" x14ac:dyDescent="0.25">
      <c r="A18" s="10" t="s">
        <v>10</v>
      </c>
      <c r="C18" s="10"/>
      <c r="D18" s="56">
        <f ca="1">AVERAGEIF($H$11:$Z$11,1,$H18:$Z18)</f>
        <v>7963.4109160599046</v>
      </c>
      <c r="E18" s="10"/>
      <c r="F18" s="76">
        <f>Assumptions!$D$11</f>
        <v>6900</v>
      </c>
      <c r="G18" s="49">
        <f ca="1">F18*(1+OFFSET(Assumptions!$C$16,0,MATCH($A$4,scenarios,0)-1))</f>
        <v>6975.9</v>
      </c>
      <c r="H18" s="49">
        <f ca="1">G18*(1+OFFSET(Assumptions!$C$16,0,MATCH($A$4,scenarios,0)-1))</f>
        <v>7052.6348999999991</v>
      </c>
      <c r="I18" s="49">
        <f ca="1">H18*(1+OFFSET(Assumptions!$C$16,0,MATCH($A$4,scenarios,0)-1))</f>
        <v>7130.2138838999981</v>
      </c>
      <c r="J18" s="49">
        <f ca="1">I18*(1+OFFSET(Assumptions!$C$16,0,MATCH($A$4,scenarios,0)-1))</f>
        <v>7208.646236622897</v>
      </c>
      <c r="K18" s="49">
        <f ca="1">J18*(1+OFFSET(Assumptions!$C$16,0,MATCH($A$4,scenarios,0)-1))</f>
        <v>7287.9413452257486</v>
      </c>
      <c r="L18" s="49">
        <f ca="1">K18*(1+OFFSET(Assumptions!$C$16,0,MATCH($A$4,scenarios,0)-1))</f>
        <v>7368.108700023231</v>
      </c>
      <c r="M18" s="49">
        <f ca="1">L18*(1+OFFSET(Assumptions!$C$16,0,MATCH($A$4,scenarios,0)-1))</f>
        <v>7449.157895723486</v>
      </c>
      <c r="N18" s="49">
        <f ca="1">M18*(1+OFFSET(Assumptions!$C$16,0,MATCH($A$4,scenarios,0)-1))</f>
        <v>7531.0986325764434</v>
      </c>
      <c r="O18" s="49">
        <f ca="1">N18*(1+OFFSET(Assumptions!$C$16,0,MATCH($A$4,scenarios,0)-1))</f>
        <v>7613.9407175347833</v>
      </c>
      <c r="P18" s="49">
        <f ca="1">O18*(1+OFFSET(Assumptions!$C$16,0,MATCH($A$4,scenarios,0)-1))</f>
        <v>7697.694065427665</v>
      </c>
      <c r="Q18" s="49">
        <f ca="1">P18*(1+OFFSET(Assumptions!$C$16,0,MATCH($A$4,scenarios,0)-1))</f>
        <v>7782.3687001473681</v>
      </c>
      <c r="R18" s="49">
        <f ca="1">Q18*(1+OFFSET(Assumptions!$C$16,0,MATCH($A$4,scenarios,0)-1))</f>
        <v>7867.974755848988</v>
      </c>
      <c r="S18" s="49">
        <f ca="1">R18*(1+OFFSET(Assumptions!$C$16,0,MATCH($A$4,scenarios,0)-1))</f>
        <v>7954.522478163326</v>
      </c>
      <c r="T18" s="49">
        <f ca="1">S18*(1+OFFSET(Assumptions!$C$16,0,MATCH($A$4,scenarios,0)-1))</f>
        <v>8042.0222254231221</v>
      </c>
      <c r="U18" s="49">
        <f ca="1">T18*(1+OFFSET(Assumptions!$C$16,0,MATCH($A$4,scenarios,0)-1))</f>
        <v>8130.4844699027753</v>
      </c>
      <c r="V18" s="49">
        <f ca="1">U18*(1+OFFSET(Assumptions!$C$16,0,MATCH($A$4,scenarios,0)-1))</f>
        <v>8219.9197990717057</v>
      </c>
      <c r="W18" s="49">
        <f ca="1">V18*(1+OFFSET(Assumptions!$C$16,0,MATCH($A$4,scenarios,0)-1))</f>
        <v>8310.338916861494</v>
      </c>
      <c r="X18" s="49">
        <f ca="1">W18*(1+OFFSET(Assumptions!$C$16,0,MATCH($A$4,scenarios,0)-1))</f>
        <v>8401.7526449469697</v>
      </c>
      <c r="Y18" s="49">
        <f ca="1">X18*(1+OFFSET(Assumptions!$C$16,0,MATCH($A$4,scenarios,0)-1))</f>
        <v>8494.1719240413859</v>
      </c>
      <c r="Z18" s="49">
        <f ca="1">Y18*(1+OFFSET(Assumptions!$C$16,0,MATCH($A$4,scenarios,0)-1))</f>
        <v>8587.6078152058399</v>
      </c>
      <c r="AA18" s="49"/>
    </row>
    <row r="19" spans="1:27" x14ac:dyDescent="0.25">
      <c r="A19" s="10" t="s">
        <v>11</v>
      </c>
      <c r="C19" s="10"/>
      <c r="D19" s="56">
        <f ca="1">AVERAGEIF($H$11:$Z$11,1,$H19:$Z19)</f>
        <v>4316.3995400092817</v>
      </c>
      <c r="E19" s="10"/>
      <c r="F19" s="76">
        <f>Assumptions!$D$12</f>
        <v>3740</v>
      </c>
      <c r="G19" s="49">
        <f ca="1">F19*(1+OFFSET(Assumptions!$C$17,0,MATCH($A$4,scenarios,0)-1))</f>
        <v>3781.1399999999994</v>
      </c>
      <c r="H19" s="49">
        <f ca="1">G19*(1+OFFSET(Assumptions!$C$17,0,MATCH($A$4,scenarios,0)-1))</f>
        <v>3822.7325399999991</v>
      </c>
      <c r="I19" s="49">
        <f ca="1">H19*(1+OFFSET(Assumptions!$C$17,0,MATCH($A$4,scenarios,0)-1))</f>
        <v>3864.7825979399986</v>
      </c>
      <c r="J19" s="49">
        <f ca="1">I19*(1+OFFSET(Assumptions!$C$17,0,MATCH($A$4,scenarios,0)-1))</f>
        <v>3907.2952065173381</v>
      </c>
      <c r="K19" s="49">
        <f ca="1">J19*(1+OFFSET(Assumptions!$C$17,0,MATCH($A$4,scenarios,0)-1))</f>
        <v>3950.2754537890282</v>
      </c>
      <c r="L19" s="49">
        <f ca="1">K19*(1+OFFSET(Assumptions!$C$17,0,MATCH($A$4,scenarios,0)-1))</f>
        <v>3993.7284837807069</v>
      </c>
      <c r="M19" s="49">
        <f ca="1">L19*(1+OFFSET(Assumptions!$C$17,0,MATCH($A$4,scenarios,0)-1))</f>
        <v>4037.6594971022942</v>
      </c>
      <c r="N19" s="49">
        <f ca="1">M19*(1+OFFSET(Assumptions!$C$17,0,MATCH($A$4,scenarios,0)-1))</f>
        <v>4082.0737515704191</v>
      </c>
      <c r="O19" s="49">
        <f ca="1">N19*(1+OFFSET(Assumptions!$C$17,0,MATCH($A$4,scenarios,0)-1))</f>
        <v>4126.9765628376936</v>
      </c>
      <c r="P19" s="49">
        <f ca="1">O19*(1+OFFSET(Assumptions!$C$17,0,MATCH($A$4,scenarios,0)-1))</f>
        <v>4172.3733050289075</v>
      </c>
      <c r="Q19" s="49">
        <f ca="1">P19*(1+OFFSET(Assumptions!$C$17,0,MATCH($A$4,scenarios,0)-1))</f>
        <v>4218.2694113842254</v>
      </c>
      <c r="R19" s="49">
        <f ca="1">Q19*(1+OFFSET(Assumptions!$C$17,0,MATCH($A$4,scenarios,0)-1))</f>
        <v>4264.6703749094513</v>
      </c>
      <c r="S19" s="49">
        <f ca="1">R19*(1+OFFSET(Assumptions!$C$17,0,MATCH($A$4,scenarios,0)-1))</f>
        <v>4311.5817490334548</v>
      </c>
      <c r="T19" s="49">
        <f ca="1">S19*(1+OFFSET(Assumptions!$C$17,0,MATCH($A$4,scenarios,0)-1))</f>
        <v>4359.0091482728221</v>
      </c>
      <c r="U19" s="49">
        <f ca="1">T19*(1+OFFSET(Assumptions!$C$17,0,MATCH($A$4,scenarios,0)-1))</f>
        <v>4406.958248903823</v>
      </c>
      <c r="V19" s="49">
        <f ca="1">U19*(1+OFFSET(Assumptions!$C$17,0,MATCH($A$4,scenarios,0)-1))</f>
        <v>4455.4347896417648</v>
      </c>
      <c r="W19" s="49">
        <f ca="1">V19*(1+OFFSET(Assumptions!$C$17,0,MATCH($A$4,scenarios,0)-1))</f>
        <v>4504.4445723278241</v>
      </c>
      <c r="X19" s="49">
        <f ca="1">W19*(1+OFFSET(Assumptions!$C$17,0,MATCH($A$4,scenarios,0)-1))</f>
        <v>4553.9934626234299</v>
      </c>
      <c r="Y19" s="49">
        <f ca="1">X19*(1+OFFSET(Assumptions!$C$17,0,MATCH($A$4,scenarios,0)-1))</f>
        <v>4604.0873907122868</v>
      </c>
      <c r="Z19" s="49">
        <f ca="1">Y19*(1+OFFSET(Assumptions!$C$17,0,MATCH($A$4,scenarios,0)-1))</f>
        <v>4654.7323520101218</v>
      </c>
      <c r="AA19" s="49"/>
    </row>
    <row r="20" spans="1:27" x14ac:dyDescent="0.25">
      <c r="A20" s="10"/>
      <c r="C20" s="10"/>
      <c r="D20" s="10"/>
      <c r="E20" s="10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</row>
    <row r="21" spans="1:27" x14ac:dyDescent="0.25">
      <c r="A21" s="12" t="s">
        <v>124</v>
      </c>
      <c r="G21" s="47"/>
      <c r="H21" s="47"/>
      <c r="I21" s="50"/>
      <c r="J21" s="47"/>
      <c r="K21" s="47"/>
      <c r="L21" s="47"/>
      <c r="M21" s="47"/>
    </row>
    <row r="22" spans="1:27" x14ac:dyDescent="0.25">
      <c r="A22" s="72" t="s">
        <v>144</v>
      </c>
      <c r="G22" s="47"/>
      <c r="H22" s="47"/>
      <c r="I22" s="50"/>
      <c r="J22" s="47"/>
      <c r="K22" s="47"/>
      <c r="L22" s="47"/>
      <c r="M22" s="47"/>
    </row>
    <row r="23" spans="1:27" s="22" customFormat="1" x14ac:dyDescent="0.25">
      <c r="A23" s="78" t="s">
        <v>35</v>
      </c>
      <c r="B23" s="46"/>
      <c r="D23" s="77">
        <f ca="1">OFFSET(Assumptions!$C$21,0,MATCH($A$4,scenarios,0)-1)</f>
        <v>1.9550000000000001E-2</v>
      </c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</row>
    <row r="24" spans="1:27" s="22" customFormat="1" x14ac:dyDescent="0.25">
      <c r="A24" s="78" t="s">
        <v>51</v>
      </c>
      <c r="B24" s="46"/>
      <c r="D24" s="77">
        <f ca="1">OFFSET(Assumptions!$C$22,0,MATCH($A$4,scenarios,0)-1)</f>
        <v>1</v>
      </c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</row>
    <row r="25" spans="1:27" s="22" customFormat="1" x14ac:dyDescent="0.25">
      <c r="A25" s="78" t="s">
        <v>43</v>
      </c>
      <c r="B25" s="46"/>
      <c r="D25" s="79">
        <f ca="1">OFFSET(Assumptions!$C$14,0,MATCH($A$4,scenarios,0)-1)</f>
        <v>400</v>
      </c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</row>
    <row r="26" spans="1:27" s="22" customFormat="1" x14ac:dyDescent="0.25">
      <c r="A26" s="78" t="s">
        <v>44</v>
      </c>
      <c r="B26" s="46"/>
      <c r="D26" s="79">
        <f ca="1">OFFSET(Assumptions!$C$15,0,MATCH($A$4,scenarios,0)-1)</f>
        <v>50</v>
      </c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</row>
    <row r="27" spans="1:27" s="22" customFormat="1" x14ac:dyDescent="0.25">
      <c r="A27" s="78" t="s">
        <v>145</v>
      </c>
      <c r="B27" s="46" t="s">
        <v>75</v>
      </c>
      <c r="C27" s="80"/>
      <c r="D27" s="81">
        <f ca="1">OFFSET(Assumptions!$C$23,0,MATCH($A$4,scenarios,0)-1)</f>
        <v>1.2</v>
      </c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</row>
    <row r="28" spans="1:27" s="22" customFormat="1" x14ac:dyDescent="0.25">
      <c r="A28" s="78" t="s">
        <v>141</v>
      </c>
      <c r="B28" s="46" t="s">
        <v>4</v>
      </c>
      <c r="C28" s="80"/>
      <c r="D28" s="79">
        <f ca="1">OFFSET(Assumptions!$C$26,0,MATCH($A$4,scenarios,0)-1)</f>
        <v>300</v>
      </c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</row>
    <row r="29" spans="1:27" s="22" customFormat="1" x14ac:dyDescent="0.25">
      <c r="A29" s="78" t="s">
        <v>148</v>
      </c>
      <c r="B29" s="46" t="s">
        <v>4</v>
      </c>
      <c r="C29" s="80"/>
      <c r="D29" s="79">
        <f ca="1">OFFSET(Assumptions!$C$27,0,MATCH($A$4,scenarios,0)-1)</f>
        <v>550</v>
      </c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</row>
    <row r="30" spans="1:27" s="22" customFormat="1" x14ac:dyDescent="0.25">
      <c r="A30" s="78" t="s">
        <v>5</v>
      </c>
      <c r="B30" s="74"/>
      <c r="C30" s="80"/>
      <c r="D30" s="79">
        <f ca="1">OFFSET(Assumptions!$C$28,0,MATCH($A$4,scenarios,0)-1)</f>
        <v>90</v>
      </c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</row>
    <row r="31" spans="1:27" s="22" customFormat="1" x14ac:dyDescent="0.25">
      <c r="A31" s="78"/>
      <c r="B31" s="46"/>
      <c r="D31" s="77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</row>
    <row r="32" spans="1:27" s="22" customFormat="1" x14ac:dyDescent="0.25">
      <c r="A32" s="22" t="s">
        <v>136</v>
      </c>
      <c r="B32" s="46"/>
      <c r="D32" s="56">
        <f ca="1">AVERAGEIF($H$11:$Z$11,1,$H32:$Z32)</f>
        <v>519.35288582999385</v>
      </c>
      <c r="E32" s="51"/>
      <c r="F32" s="52"/>
      <c r="G32" s="52"/>
      <c r="H32" s="52">
        <f t="shared" ref="H32:Z32" ca="1" si="6">IF(H$11,H18/$F$18*($D$25+$D$26),0)</f>
        <v>0</v>
      </c>
      <c r="I32" s="52">
        <f t="shared" ca="1" si="6"/>
        <v>0</v>
      </c>
      <c r="J32" s="52">
        <f t="shared" ca="1" si="6"/>
        <v>0</v>
      </c>
      <c r="K32" s="52">
        <f t="shared" ca="1" si="6"/>
        <v>0</v>
      </c>
      <c r="L32" s="52">
        <f t="shared" ca="1" si="6"/>
        <v>480.52882826238465</v>
      </c>
      <c r="M32" s="52">
        <f t="shared" ca="1" si="6"/>
        <v>485.81464537327082</v>
      </c>
      <c r="N32" s="52">
        <f t="shared" ca="1" si="6"/>
        <v>491.15860647237679</v>
      </c>
      <c r="O32" s="52">
        <f t="shared" ca="1" si="6"/>
        <v>496.56135114357278</v>
      </c>
      <c r="P32" s="52">
        <f t="shared" ca="1" si="6"/>
        <v>502.023526006152</v>
      </c>
      <c r="Q32" s="52">
        <f t="shared" ca="1" si="6"/>
        <v>507.54578479221971</v>
      </c>
      <c r="R32" s="52">
        <f t="shared" ca="1" si="6"/>
        <v>513.12878842493399</v>
      </c>
      <c r="S32" s="52">
        <f t="shared" ca="1" si="6"/>
        <v>518.77320509760818</v>
      </c>
      <c r="T32" s="52">
        <f t="shared" ca="1" si="6"/>
        <v>524.47971035368187</v>
      </c>
      <c r="U32" s="52">
        <f t="shared" ca="1" si="6"/>
        <v>530.2489871675723</v>
      </c>
      <c r="V32" s="52">
        <f t="shared" ca="1" si="6"/>
        <v>536.08172602641559</v>
      </c>
      <c r="W32" s="52">
        <f t="shared" ca="1" si="6"/>
        <v>541.97862501270617</v>
      </c>
      <c r="X32" s="52">
        <f t="shared" ca="1" si="6"/>
        <v>547.94038988784587</v>
      </c>
      <c r="Y32" s="52">
        <f t="shared" ca="1" si="6"/>
        <v>553.96773417661211</v>
      </c>
      <c r="Z32" s="52">
        <f t="shared" ca="1" si="6"/>
        <v>560.06137925255473</v>
      </c>
      <c r="AA32" s="52"/>
    </row>
    <row r="33" spans="1:27" s="22" customFormat="1" x14ac:dyDescent="0.25">
      <c r="A33" s="22" t="s">
        <v>137</v>
      </c>
      <c r="B33" s="46"/>
      <c r="D33" s="56">
        <f ca="1">AVERAGEIF($H$11:$Z$11,1,$H33:$Z33)</f>
        <v>10.153348917976381</v>
      </c>
      <c r="E33" s="51"/>
      <c r="F33" s="52"/>
      <c r="G33" s="52"/>
      <c r="H33" s="52">
        <f ca="1">H$32*$D23*$D24</f>
        <v>0</v>
      </c>
      <c r="I33" s="52">
        <f t="shared" ref="I33:Z33" ca="1" si="7">I$32*$D23*$D24</f>
        <v>0</v>
      </c>
      <c r="J33" s="52">
        <f t="shared" ca="1" si="7"/>
        <v>0</v>
      </c>
      <c r="K33" s="52">
        <f t="shared" ca="1" si="7"/>
        <v>0</v>
      </c>
      <c r="L33" s="52">
        <f t="shared" ca="1" si="7"/>
        <v>9.3943385925296212</v>
      </c>
      <c r="M33" s="52">
        <f t="shared" ca="1" si="7"/>
        <v>9.4976763170474445</v>
      </c>
      <c r="N33" s="52">
        <f t="shared" ca="1" si="7"/>
        <v>9.6021507565349662</v>
      </c>
      <c r="O33" s="52">
        <f t="shared" ca="1" si="7"/>
        <v>9.7077744148568481</v>
      </c>
      <c r="P33" s="52">
        <f t="shared" ca="1" si="7"/>
        <v>9.8145599334202718</v>
      </c>
      <c r="Q33" s="52">
        <f t="shared" ca="1" si="7"/>
        <v>9.9225200926878951</v>
      </c>
      <c r="R33" s="52">
        <f t="shared" ca="1" si="7"/>
        <v>10.031667813707459</v>
      </c>
      <c r="S33" s="52">
        <f t="shared" ca="1" si="7"/>
        <v>10.14201615965824</v>
      </c>
      <c r="T33" s="52">
        <f t="shared" ca="1" si="7"/>
        <v>10.253578337414481</v>
      </c>
      <c r="U33" s="52">
        <f t="shared" ca="1" si="7"/>
        <v>10.366367699126039</v>
      </c>
      <c r="V33" s="52">
        <f t="shared" ca="1" si="7"/>
        <v>10.480397743816425</v>
      </c>
      <c r="W33" s="52">
        <f t="shared" ca="1" si="7"/>
        <v>10.595682118998406</v>
      </c>
      <c r="X33" s="52">
        <f t="shared" ca="1" si="7"/>
        <v>10.712234622307388</v>
      </c>
      <c r="Y33" s="52">
        <f t="shared" ca="1" si="7"/>
        <v>10.830069203152767</v>
      </c>
      <c r="Z33" s="52">
        <f t="shared" ca="1" si="7"/>
        <v>10.949199964387446</v>
      </c>
      <c r="AA33" s="52"/>
    </row>
    <row r="34" spans="1:27" s="22" customFormat="1" x14ac:dyDescent="0.25">
      <c r="A34" s="22" t="s">
        <v>58</v>
      </c>
      <c r="B34" s="46"/>
      <c r="F34" s="52"/>
      <c r="G34" s="52"/>
      <c r="H34" s="52">
        <f ca="1">H33-G33</f>
        <v>0</v>
      </c>
      <c r="I34" s="52">
        <f t="shared" ref="I34:Z34" ca="1" si="8">I33-H33</f>
        <v>0</v>
      </c>
      <c r="J34" s="52">
        <f t="shared" ca="1" si="8"/>
        <v>0</v>
      </c>
      <c r="K34" s="52">
        <f t="shared" ca="1" si="8"/>
        <v>0</v>
      </c>
      <c r="L34" s="52">
        <f t="shared" ca="1" si="8"/>
        <v>9.3943385925296212</v>
      </c>
      <c r="M34" s="52">
        <f t="shared" ca="1" si="8"/>
        <v>0.1033377245178233</v>
      </c>
      <c r="N34" s="52">
        <f t="shared" ca="1" si="8"/>
        <v>0.10447443948752166</v>
      </c>
      <c r="O34" s="52">
        <f t="shared" ca="1" si="8"/>
        <v>0.10562365832188192</v>
      </c>
      <c r="P34" s="52">
        <f t="shared" ca="1" si="8"/>
        <v>0.10678551856342366</v>
      </c>
      <c r="Q34" s="52">
        <f t="shared" ca="1" si="8"/>
        <v>0.10796015926762337</v>
      </c>
      <c r="R34" s="52">
        <f t="shared" ca="1" si="8"/>
        <v>0.10914772101956416</v>
      </c>
      <c r="S34" s="52">
        <f t="shared" ca="1" si="8"/>
        <v>0.11034834595078102</v>
      </c>
      <c r="T34" s="52">
        <f t="shared" ca="1" si="8"/>
        <v>0.111562177756241</v>
      </c>
      <c r="U34" s="52">
        <f t="shared" ca="1" si="8"/>
        <v>0.11278936171155785</v>
      </c>
      <c r="V34" s="52">
        <f t="shared" ca="1" si="8"/>
        <v>0.11403004469038613</v>
      </c>
      <c r="W34" s="52">
        <f t="shared" ca="1" si="8"/>
        <v>0.11528437518198054</v>
      </c>
      <c r="X34" s="52">
        <f t="shared" ca="1" si="8"/>
        <v>0.11655250330898248</v>
      </c>
      <c r="Y34" s="52">
        <f t="shared" ca="1" si="8"/>
        <v>0.11783458084537912</v>
      </c>
      <c r="Z34" s="52">
        <f t="shared" ca="1" si="8"/>
        <v>0.11913076123467903</v>
      </c>
      <c r="AA34" s="52"/>
    </row>
    <row r="35" spans="1:27" s="22" customFormat="1" x14ac:dyDescent="0.25">
      <c r="A35" s="22" t="s">
        <v>138</v>
      </c>
      <c r="B35" s="46"/>
      <c r="C35" s="53">
        <f ca="1">SUMPRODUCT($H35:$Z35,$H$8:$Z$8)</f>
        <v>9.3402218949957039</v>
      </c>
      <c r="D35" s="53"/>
      <c r="E35" s="53"/>
      <c r="F35" s="52"/>
      <c r="G35" s="52"/>
      <c r="H35" s="52">
        <f ca="1">H34*$D27</f>
        <v>0</v>
      </c>
      <c r="I35" s="52">
        <f t="shared" ref="I35:Z35" ca="1" si="9">I34*$D27</f>
        <v>0</v>
      </c>
      <c r="J35" s="52">
        <f t="shared" ca="1" si="9"/>
        <v>0</v>
      </c>
      <c r="K35" s="52">
        <f t="shared" ca="1" si="9"/>
        <v>0</v>
      </c>
      <c r="L35" s="52">
        <f t="shared" ca="1" si="9"/>
        <v>11.273206311035546</v>
      </c>
      <c r="M35" s="52">
        <f t="shared" ca="1" si="9"/>
        <v>0.12400526942138795</v>
      </c>
      <c r="N35" s="52">
        <f t="shared" ca="1" si="9"/>
        <v>0.12536932738502599</v>
      </c>
      <c r="O35" s="52">
        <f t="shared" ca="1" si="9"/>
        <v>0.12674838998625829</v>
      </c>
      <c r="P35" s="52">
        <f t="shared" ca="1" si="9"/>
        <v>0.1281426222761084</v>
      </c>
      <c r="Q35" s="52">
        <f t="shared" ca="1" si="9"/>
        <v>0.12955219112114805</v>
      </c>
      <c r="R35" s="52">
        <f t="shared" ca="1" si="9"/>
        <v>0.130977265223477</v>
      </c>
      <c r="S35" s="52">
        <f t="shared" ca="1" si="9"/>
        <v>0.13241801514093723</v>
      </c>
      <c r="T35" s="52">
        <f t="shared" ca="1" si="9"/>
        <v>0.1338746133074892</v>
      </c>
      <c r="U35" s="52">
        <f t="shared" ca="1" si="9"/>
        <v>0.13534723405386942</v>
      </c>
      <c r="V35" s="52">
        <f t="shared" ca="1" si="9"/>
        <v>0.13683605362846335</v>
      </c>
      <c r="W35" s="52">
        <f t="shared" ca="1" si="9"/>
        <v>0.13834125021837665</v>
      </c>
      <c r="X35" s="52">
        <f t="shared" ca="1" si="9"/>
        <v>0.13986300397077897</v>
      </c>
      <c r="Y35" s="52">
        <f t="shared" ca="1" si="9"/>
        <v>0.14140149701445495</v>
      </c>
      <c r="Z35" s="52">
        <f t="shared" ca="1" si="9"/>
        <v>0.14295691348161482</v>
      </c>
      <c r="AA35" s="52"/>
    </row>
    <row r="36" spans="1:27" s="22" customFormat="1" x14ac:dyDescent="0.25">
      <c r="A36" s="22" t="s">
        <v>139</v>
      </c>
      <c r="B36" s="46"/>
      <c r="C36" s="53"/>
      <c r="D36" s="53"/>
      <c r="E36" s="53"/>
      <c r="F36" s="52"/>
      <c r="G36" s="52"/>
      <c r="H36" s="52">
        <f ca="1">H$33*$D28*$D30/1000000</f>
        <v>0</v>
      </c>
      <c r="I36" s="52">
        <f t="shared" ref="I36:Z36" ca="1" si="10">I$33*$D28*$D30/1000000</f>
        <v>0</v>
      </c>
      <c r="J36" s="52">
        <f t="shared" ca="1" si="10"/>
        <v>0</v>
      </c>
      <c r="K36" s="52">
        <f t="shared" ca="1" si="10"/>
        <v>0</v>
      </c>
      <c r="L36" s="52">
        <f t="shared" ca="1" si="10"/>
        <v>0.25364714199829974</v>
      </c>
      <c r="M36" s="52">
        <f t="shared" ca="1" si="10"/>
        <v>0.25643726056028099</v>
      </c>
      <c r="N36" s="52">
        <f t="shared" ca="1" si="10"/>
        <v>0.25925807042644411</v>
      </c>
      <c r="O36" s="52">
        <f t="shared" ca="1" si="10"/>
        <v>0.26210990920113486</v>
      </c>
      <c r="P36" s="52">
        <f t="shared" ca="1" si="10"/>
        <v>0.26499311820234739</v>
      </c>
      <c r="Q36" s="52">
        <f t="shared" ca="1" si="10"/>
        <v>0.26790804250257316</v>
      </c>
      <c r="R36" s="52">
        <f t="shared" ca="1" si="10"/>
        <v>0.27085503097010138</v>
      </c>
      <c r="S36" s="52">
        <f t="shared" ca="1" si="10"/>
        <v>0.27383443631077248</v>
      </c>
      <c r="T36" s="52">
        <f t="shared" ca="1" si="10"/>
        <v>0.27684661511019099</v>
      </c>
      <c r="U36" s="52">
        <f t="shared" ca="1" si="10"/>
        <v>0.27989192787640305</v>
      </c>
      <c r="V36" s="52">
        <f t="shared" ca="1" si="10"/>
        <v>0.28297073908304349</v>
      </c>
      <c r="W36" s="52">
        <f t="shared" ca="1" si="10"/>
        <v>0.28608341721295694</v>
      </c>
      <c r="X36" s="52">
        <f t="shared" ca="1" si="10"/>
        <v>0.28923033480229948</v>
      </c>
      <c r="Y36" s="52">
        <f t="shared" ca="1" si="10"/>
        <v>0.29241186848512474</v>
      </c>
      <c r="Z36" s="52">
        <f t="shared" ca="1" si="10"/>
        <v>0.29562839903846111</v>
      </c>
      <c r="AA36" s="52"/>
    </row>
    <row r="37" spans="1:27" s="22" customFormat="1" x14ac:dyDescent="0.25">
      <c r="A37" s="22" t="s">
        <v>140</v>
      </c>
      <c r="B37" s="46"/>
      <c r="C37" s="53"/>
      <c r="D37" s="53"/>
      <c r="E37" s="53"/>
      <c r="F37" s="52"/>
      <c r="G37" s="52"/>
      <c r="H37" s="52">
        <f ca="1">-H$33*$D29*$D30/1000000</f>
        <v>0</v>
      </c>
      <c r="I37" s="52">
        <f t="shared" ref="I37:Z37" ca="1" si="11">-I$33*$D29*$D30/1000000</f>
        <v>0</v>
      </c>
      <c r="J37" s="52">
        <f t="shared" ca="1" si="11"/>
        <v>0</v>
      </c>
      <c r="K37" s="52">
        <f t="shared" ca="1" si="11"/>
        <v>0</v>
      </c>
      <c r="L37" s="52">
        <f t="shared" ca="1" si="11"/>
        <v>-0.46501976033021619</v>
      </c>
      <c r="M37" s="52">
        <f t="shared" ca="1" si="11"/>
        <v>-0.47013497769384849</v>
      </c>
      <c r="N37" s="52">
        <f t="shared" ca="1" si="11"/>
        <v>-0.47530646244848085</v>
      </c>
      <c r="O37" s="52">
        <f t="shared" ca="1" si="11"/>
        <v>-0.48053483353541393</v>
      </c>
      <c r="P37" s="52">
        <f t="shared" ca="1" si="11"/>
        <v>-0.48582071670430343</v>
      </c>
      <c r="Q37" s="52">
        <f t="shared" ca="1" si="11"/>
        <v>-0.49116474458805082</v>
      </c>
      <c r="R37" s="52">
        <f t="shared" ca="1" si="11"/>
        <v>-0.49656755677851921</v>
      </c>
      <c r="S37" s="52">
        <f t="shared" ca="1" si="11"/>
        <v>-0.50202979990308283</v>
      </c>
      <c r="T37" s="52">
        <f t="shared" ca="1" si="11"/>
        <v>-0.50755212770201674</v>
      </c>
      <c r="U37" s="52">
        <f t="shared" ca="1" si="11"/>
        <v>-0.51313520110673905</v>
      </c>
      <c r="V37" s="52">
        <f t="shared" ca="1" si="11"/>
        <v>-0.51877968831891308</v>
      </c>
      <c r="W37" s="52">
        <f t="shared" ca="1" si="11"/>
        <v>-0.52448626489042105</v>
      </c>
      <c r="X37" s="52">
        <f t="shared" ca="1" si="11"/>
        <v>-0.53025561380421582</v>
      </c>
      <c r="Y37" s="52">
        <f t="shared" ca="1" si="11"/>
        <v>-0.53608842555606206</v>
      </c>
      <c r="Z37" s="52">
        <f t="shared" ca="1" si="11"/>
        <v>-0.54198539823717862</v>
      </c>
      <c r="AA37" s="52"/>
    </row>
    <row r="38" spans="1:27" s="22" customFormat="1" x14ac:dyDescent="0.25">
      <c r="A38" s="22" t="s">
        <v>146</v>
      </c>
      <c r="B38" s="46"/>
      <c r="C38" s="53">
        <f ca="1">SUMPRODUCT($H38:$Z38,$H$8:$Z$8)</f>
        <v>-1.7368786116718378</v>
      </c>
      <c r="D38" s="56">
        <f ca="1">AVERAGEIF($H$11:$Z$11,1,$H38:$Z38)</f>
        <v>-0.22845035065446853</v>
      </c>
      <c r="E38" s="51"/>
      <c r="F38" s="54"/>
      <c r="G38" s="54"/>
      <c r="H38" s="52">
        <f t="shared" ref="H38" ca="1" si="12">H36+H37</f>
        <v>0</v>
      </c>
      <c r="I38" s="52">
        <f t="shared" ref="I38" ca="1" si="13">I36+I37</f>
        <v>0</v>
      </c>
      <c r="J38" s="52">
        <f t="shared" ref="J38" ca="1" si="14">J36+J37</f>
        <v>0</v>
      </c>
      <c r="K38" s="52">
        <f t="shared" ref="K38" ca="1" si="15">K36+K37</f>
        <v>0</v>
      </c>
      <c r="L38" s="52">
        <f t="shared" ref="L38" ca="1" si="16">L36+L37</f>
        <v>-0.21137261833191645</v>
      </c>
      <c r="M38" s="52">
        <f t="shared" ref="M38" ca="1" si="17">M36+M37</f>
        <v>-0.2136977171335675</v>
      </c>
      <c r="N38" s="52">
        <f t="shared" ref="N38" ca="1" si="18">N36+N37</f>
        <v>-0.21604839202203674</v>
      </c>
      <c r="O38" s="52">
        <f t="shared" ref="O38" ca="1" si="19">O36+O37</f>
        <v>-0.21842492433427907</v>
      </c>
      <c r="P38" s="52">
        <f t="shared" ref="P38" ca="1" si="20">P36+P37</f>
        <v>-0.22082759850195605</v>
      </c>
      <c r="Q38" s="52">
        <f t="shared" ref="Q38" ca="1" si="21">Q36+Q37</f>
        <v>-0.22325670208547765</v>
      </c>
      <c r="R38" s="52">
        <f t="shared" ref="R38" ca="1" si="22">R36+R37</f>
        <v>-0.22571252580841783</v>
      </c>
      <c r="S38" s="52">
        <f t="shared" ref="S38" ca="1" si="23">S36+S37</f>
        <v>-0.22819536359231035</v>
      </c>
      <c r="T38" s="52">
        <f t="shared" ref="T38" ca="1" si="24">T36+T37</f>
        <v>-0.23070551259182576</v>
      </c>
      <c r="U38" s="52">
        <f t="shared" ref="U38" ca="1" si="25">U36+U37</f>
        <v>-0.233243273230336</v>
      </c>
      <c r="V38" s="52">
        <f t="shared" ref="V38" ca="1" si="26">V36+V37</f>
        <v>-0.23580894923586959</v>
      </c>
      <c r="W38" s="52">
        <f t="shared" ref="W38" ca="1" si="27">W36+W37</f>
        <v>-0.23840284767746411</v>
      </c>
      <c r="X38" s="52">
        <f t="shared" ref="X38" ca="1" si="28">X36+X37</f>
        <v>-0.24102527900191634</v>
      </c>
      <c r="Y38" s="52">
        <f t="shared" ref="Y38" ca="1" si="29">Y36+Y37</f>
        <v>-0.24367655707093733</v>
      </c>
      <c r="Z38" s="52">
        <f t="shared" ref="Z38" ca="1" si="30">Z36+Z37</f>
        <v>-0.24635699919871751</v>
      </c>
      <c r="AA38" s="54"/>
    </row>
    <row r="39" spans="1:27" s="22" customFormat="1" x14ac:dyDescent="0.25">
      <c r="A39" s="22" t="s">
        <v>57</v>
      </c>
      <c r="B39" s="46"/>
      <c r="D39" s="53">
        <f ca="1">SUMPRODUCT($H39:$Z39,$H$8:$Z$8)</f>
        <v>7.6033432833238681</v>
      </c>
      <c r="E39" s="53"/>
      <c r="F39" s="52"/>
      <c r="G39" s="52"/>
      <c r="H39" s="52">
        <f ca="1">H35+H38</f>
        <v>0</v>
      </c>
      <c r="I39" s="52">
        <f t="shared" ref="I39:Z39" ca="1" si="31">I35+I38</f>
        <v>0</v>
      </c>
      <c r="J39" s="52">
        <f t="shared" ca="1" si="31"/>
        <v>0</v>
      </c>
      <c r="K39" s="52">
        <f t="shared" ca="1" si="31"/>
        <v>0</v>
      </c>
      <c r="L39" s="52">
        <f t="shared" ca="1" si="31"/>
        <v>11.06183369270363</v>
      </c>
      <c r="M39" s="52">
        <f t="shared" ca="1" si="31"/>
        <v>-8.9692447712179546E-2</v>
      </c>
      <c r="N39" s="52">
        <f t="shared" ca="1" si="31"/>
        <v>-9.0679064637010753E-2</v>
      </c>
      <c r="O39" s="52">
        <f t="shared" ca="1" si="31"/>
        <v>-9.1676534348020783E-2</v>
      </c>
      <c r="P39" s="52">
        <f t="shared" ca="1" si="31"/>
        <v>-9.2684976225847648E-2</v>
      </c>
      <c r="Q39" s="52">
        <f t="shared" ca="1" si="31"/>
        <v>-9.3704510964329607E-2</v>
      </c>
      <c r="R39" s="52">
        <f t="shared" ca="1" si="31"/>
        <v>-9.4735260584940834E-2</v>
      </c>
      <c r="S39" s="52">
        <f t="shared" ca="1" si="31"/>
        <v>-9.5777348451373118E-2</v>
      </c>
      <c r="T39" s="52">
        <f t="shared" ca="1" si="31"/>
        <v>-9.6830899284336552E-2</v>
      </c>
      <c r="U39" s="52">
        <f t="shared" ca="1" si="31"/>
        <v>-9.7896039176466582E-2</v>
      </c>
      <c r="V39" s="52">
        <f t="shared" ca="1" si="31"/>
        <v>-9.8972895607406242E-2</v>
      </c>
      <c r="W39" s="52">
        <f t="shared" ca="1" si="31"/>
        <v>-0.10006159745908746</v>
      </c>
      <c r="X39" s="52">
        <f t="shared" ca="1" si="31"/>
        <v>-0.10116227503113737</v>
      </c>
      <c r="Y39" s="52">
        <f t="shared" ca="1" si="31"/>
        <v>-0.10227506005648238</v>
      </c>
      <c r="Z39" s="52">
        <f t="shared" ca="1" si="31"/>
        <v>-0.10340008571710269</v>
      </c>
      <c r="AA39" s="52"/>
    </row>
    <row r="40" spans="1:27" s="22" customFormat="1" x14ac:dyDescent="0.25">
      <c r="B40" s="46"/>
      <c r="C40" s="53"/>
      <c r="D40" s="53"/>
      <c r="E40" s="53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</row>
    <row r="41" spans="1:27" s="22" customFormat="1" x14ac:dyDescent="0.25">
      <c r="A41" s="12" t="s">
        <v>125</v>
      </c>
      <c r="B41" s="46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</row>
    <row r="42" spans="1:27" s="22" customFormat="1" x14ac:dyDescent="0.25">
      <c r="A42" s="72" t="s">
        <v>144</v>
      </c>
      <c r="B42" s="46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</row>
    <row r="43" spans="1:27" s="22" customFormat="1" x14ac:dyDescent="0.25">
      <c r="A43" s="78" t="s">
        <v>76</v>
      </c>
      <c r="B43" s="46"/>
      <c r="D43" s="77">
        <f ca="1">OFFSET(Assumptions!$C$32,0,MATCH($A$4,scenarios,0)-1)</f>
        <v>0</v>
      </c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</row>
    <row r="44" spans="1:27" s="22" customFormat="1" x14ac:dyDescent="0.25">
      <c r="A44" s="78" t="s">
        <v>13</v>
      </c>
      <c r="B44" s="46"/>
      <c r="D44" s="77">
        <f ca="1">OFFSET(Assumptions!$C$33,0,MATCH($A$4,scenarios,0)-1)</f>
        <v>0</v>
      </c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</row>
    <row r="45" spans="1:27" s="22" customFormat="1" x14ac:dyDescent="0.25">
      <c r="A45" s="78" t="s">
        <v>51</v>
      </c>
      <c r="B45" s="46"/>
      <c r="D45" s="77">
        <f ca="1">OFFSET(Assumptions!$C$22,0,MATCH($A$4,scenarios,0)-1)</f>
        <v>1</v>
      </c>
      <c r="F45" s="55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7"/>
    </row>
    <row r="46" spans="1:27" s="22" customFormat="1" x14ac:dyDescent="0.25">
      <c r="A46" s="78" t="s">
        <v>147</v>
      </c>
      <c r="B46" s="46" t="s">
        <v>4</v>
      </c>
      <c r="D46" s="79">
        <f ca="1">OFFSET(Assumptions!$C$36,0,MATCH($A$4,scenarios,0)-1)</f>
        <v>800</v>
      </c>
      <c r="F46" s="55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7"/>
    </row>
    <row r="47" spans="1:27" s="22" customFormat="1" ht="14.25" x14ac:dyDescent="0.2">
      <c r="F47" s="55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7"/>
    </row>
    <row r="48" spans="1:27" s="22" customFormat="1" x14ac:dyDescent="0.25">
      <c r="A48" s="22" t="s">
        <v>56</v>
      </c>
      <c r="B48" s="46"/>
      <c r="D48" s="56">
        <f ca="1">AVERAGEIF($H$11:$Z$11,1,$H48:$Z48)</f>
        <v>0</v>
      </c>
      <c r="E48" s="56"/>
      <c r="F48" s="55"/>
      <c r="H48" s="57">
        <f t="shared" ref="H48:Z48" ca="1" si="32">H$12*H$19*$D43*$D44*$D45</f>
        <v>0</v>
      </c>
      <c r="I48" s="57">
        <f t="shared" ca="1" si="32"/>
        <v>0</v>
      </c>
      <c r="J48" s="57">
        <f t="shared" ca="1" si="32"/>
        <v>0</v>
      </c>
      <c r="K48" s="57">
        <f t="shared" ca="1" si="32"/>
        <v>0</v>
      </c>
      <c r="L48" s="57">
        <f t="shared" ca="1" si="32"/>
        <v>0</v>
      </c>
      <c r="M48" s="57">
        <f t="shared" ca="1" si="32"/>
        <v>0</v>
      </c>
      <c r="N48" s="57">
        <f t="shared" ca="1" si="32"/>
        <v>0</v>
      </c>
      <c r="O48" s="57">
        <f t="shared" ca="1" si="32"/>
        <v>0</v>
      </c>
      <c r="P48" s="57">
        <f t="shared" ca="1" si="32"/>
        <v>0</v>
      </c>
      <c r="Q48" s="57">
        <f t="shared" ca="1" si="32"/>
        <v>0</v>
      </c>
      <c r="R48" s="57">
        <f t="shared" ca="1" si="32"/>
        <v>0</v>
      </c>
      <c r="S48" s="57">
        <f t="shared" ca="1" si="32"/>
        <v>0</v>
      </c>
      <c r="T48" s="57">
        <f t="shared" ca="1" si="32"/>
        <v>0</v>
      </c>
      <c r="U48" s="57">
        <f t="shared" ca="1" si="32"/>
        <v>0</v>
      </c>
      <c r="V48" s="57">
        <f t="shared" ca="1" si="32"/>
        <v>0</v>
      </c>
      <c r="W48" s="57">
        <f t="shared" ca="1" si="32"/>
        <v>0</v>
      </c>
      <c r="X48" s="57">
        <f t="shared" ca="1" si="32"/>
        <v>0</v>
      </c>
      <c r="Y48" s="57">
        <f t="shared" ca="1" si="32"/>
        <v>0</v>
      </c>
      <c r="Z48" s="57">
        <f t="shared" ca="1" si="32"/>
        <v>0</v>
      </c>
      <c r="AA48" s="57"/>
    </row>
    <row r="49" spans="1:27" s="22" customFormat="1" x14ac:dyDescent="0.25">
      <c r="A49" s="22" t="s">
        <v>59</v>
      </c>
      <c r="B49" s="46"/>
      <c r="F49" s="57"/>
      <c r="G49" s="57"/>
      <c r="H49" s="57">
        <f t="shared" ref="H49:Z49" ca="1" si="33">H48-G48</f>
        <v>0</v>
      </c>
      <c r="I49" s="57">
        <f t="shared" ca="1" si="33"/>
        <v>0</v>
      </c>
      <c r="J49" s="57">
        <f t="shared" ca="1" si="33"/>
        <v>0</v>
      </c>
      <c r="K49" s="57">
        <f t="shared" ca="1" si="33"/>
        <v>0</v>
      </c>
      <c r="L49" s="57">
        <f t="shared" ca="1" si="33"/>
        <v>0</v>
      </c>
      <c r="M49" s="57">
        <f t="shared" ca="1" si="33"/>
        <v>0</v>
      </c>
      <c r="N49" s="57">
        <f t="shared" ca="1" si="33"/>
        <v>0</v>
      </c>
      <c r="O49" s="57">
        <f t="shared" ca="1" si="33"/>
        <v>0</v>
      </c>
      <c r="P49" s="57">
        <f t="shared" ca="1" si="33"/>
        <v>0</v>
      </c>
      <c r="Q49" s="57">
        <f t="shared" ca="1" si="33"/>
        <v>0</v>
      </c>
      <c r="R49" s="57">
        <f t="shared" ca="1" si="33"/>
        <v>0</v>
      </c>
      <c r="S49" s="57">
        <f t="shared" ca="1" si="33"/>
        <v>0</v>
      </c>
      <c r="T49" s="57">
        <f t="shared" ca="1" si="33"/>
        <v>0</v>
      </c>
      <c r="U49" s="57">
        <f t="shared" ca="1" si="33"/>
        <v>0</v>
      </c>
      <c r="V49" s="57">
        <f t="shared" ca="1" si="33"/>
        <v>0</v>
      </c>
      <c r="W49" s="57">
        <f t="shared" ca="1" si="33"/>
        <v>0</v>
      </c>
      <c r="X49" s="57">
        <f t="shared" ca="1" si="33"/>
        <v>0</v>
      </c>
      <c r="Y49" s="57">
        <f t="shared" ca="1" si="33"/>
        <v>0</v>
      </c>
      <c r="Z49" s="57">
        <f t="shared" ca="1" si="33"/>
        <v>0</v>
      </c>
      <c r="AA49" s="57"/>
    </row>
    <row r="50" spans="1:27" s="22" customFormat="1" x14ac:dyDescent="0.25">
      <c r="A50" s="22" t="s">
        <v>138</v>
      </c>
      <c r="B50" s="46"/>
      <c r="C50" s="53">
        <f ca="1">SUMPRODUCT($H50:$Z50,$H$8:$Z$8)</f>
        <v>0</v>
      </c>
      <c r="D50" s="53"/>
      <c r="E50" s="53"/>
      <c r="F50" s="52"/>
      <c r="G50" s="52"/>
      <c r="H50" s="52">
        <f ca="1">H49*$D27</f>
        <v>0</v>
      </c>
      <c r="I50" s="52">
        <f t="shared" ref="I50:Z50" ca="1" si="34">I49*$D27</f>
        <v>0</v>
      </c>
      <c r="J50" s="52">
        <f t="shared" ca="1" si="34"/>
        <v>0</v>
      </c>
      <c r="K50" s="52">
        <f t="shared" ca="1" si="34"/>
        <v>0</v>
      </c>
      <c r="L50" s="52">
        <f t="shared" ca="1" si="34"/>
        <v>0</v>
      </c>
      <c r="M50" s="52">
        <f t="shared" ca="1" si="34"/>
        <v>0</v>
      </c>
      <c r="N50" s="52">
        <f t="shared" ca="1" si="34"/>
        <v>0</v>
      </c>
      <c r="O50" s="52">
        <f t="shared" ca="1" si="34"/>
        <v>0</v>
      </c>
      <c r="P50" s="52">
        <f t="shared" ca="1" si="34"/>
        <v>0</v>
      </c>
      <c r="Q50" s="52">
        <f t="shared" ca="1" si="34"/>
        <v>0</v>
      </c>
      <c r="R50" s="52">
        <f t="shared" ca="1" si="34"/>
        <v>0</v>
      </c>
      <c r="S50" s="52">
        <f t="shared" ca="1" si="34"/>
        <v>0</v>
      </c>
      <c r="T50" s="52">
        <f t="shared" ca="1" si="34"/>
        <v>0</v>
      </c>
      <c r="U50" s="52">
        <f t="shared" ca="1" si="34"/>
        <v>0</v>
      </c>
      <c r="V50" s="52">
        <f t="shared" ca="1" si="34"/>
        <v>0</v>
      </c>
      <c r="W50" s="52">
        <f t="shared" ca="1" si="34"/>
        <v>0</v>
      </c>
      <c r="X50" s="52">
        <f t="shared" ca="1" si="34"/>
        <v>0</v>
      </c>
      <c r="Y50" s="52">
        <f t="shared" ca="1" si="34"/>
        <v>0</v>
      </c>
      <c r="Z50" s="52">
        <f t="shared" ca="1" si="34"/>
        <v>0</v>
      </c>
      <c r="AA50" s="52"/>
    </row>
    <row r="51" spans="1:27" s="22" customFormat="1" x14ac:dyDescent="0.25">
      <c r="A51" s="22" t="s">
        <v>139</v>
      </c>
      <c r="B51" s="46"/>
      <c r="C51" s="53"/>
      <c r="D51" s="53"/>
      <c r="E51" s="53"/>
      <c r="F51" s="52"/>
      <c r="G51" s="52"/>
      <c r="H51" s="52">
        <f ca="1">H$48*$D28*$D30/1000000</f>
        <v>0</v>
      </c>
      <c r="I51" s="52">
        <f t="shared" ref="I51:Z51" ca="1" si="35">I$48*$D28*$D30/1000000</f>
        <v>0</v>
      </c>
      <c r="J51" s="52">
        <f t="shared" ca="1" si="35"/>
        <v>0</v>
      </c>
      <c r="K51" s="52">
        <f t="shared" ca="1" si="35"/>
        <v>0</v>
      </c>
      <c r="L51" s="52">
        <f t="shared" ca="1" si="35"/>
        <v>0</v>
      </c>
      <c r="M51" s="52">
        <f t="shared" ca="1" si="35"/>
        <v>0</v>
      </c>
      <c r="N51" s="52">
        <f t="shared" ca="1" si="35"/>
        <v>0</v>
      </c>
      <c r="O51" s="52">
        <f t="shared" ca="1" si="35"/>
        <v>0</v>
      </c>
      <c r="P51" s="52">
        <f t="shared" ca="1" si="35"/>
        <v>0</v>
      </c>
      <c r="Q51" s="52">
        <f t="shared" ca="1" si="35"/>
        <v>0</v>
      </c>
      <c r="R51" s="52">
        <f t="shared" ca="1" si="35"/>
        <v>0</v>
      </c>
      <c r="S51" s="52">
        <f t="shared" ca="1" si="35"/>
        <v>0</v>
      </c>
      <c r="T51" s="52">
        <f t="shared" ca="1" si="35"/>
        <v>0</v>
      </c>
      <c r="U51" s="52">
        <f t="shared" ca="1" si="35"/>
        <v>0</v>
      </c>
      <c r="V51" s="52">
        <f t="shared" ca="1" si="35"/>
        <v>0</v>
      </c>
      <c r="W51" s="52">
        <f t="shared" ca="1" si="35"/>
        <v>0</v>
      </c>
      <c r="X51" s="52">
        <f t="shared" ca="1" si="35"/>
        <v>0</v>
      </c>
      <c r="Y51" s="52">
        <f t="shared" ca="1" si="35"/>
        <v>0</v>
      </c>
      <c r="Z51" s="52">
        <f t="shared" ca="1" si="35"/>
        <v>0</v>
      </c>
      <c r="AA51" s="52"/>
    </row>
    <row r="52" spans="1:27" s="22" customFormat="1" x14ac:dyDescent="0.25">
      <c r="A52" s="22" t="s">
        <v>140</v>
      </c>
      <c r="B52" s="46"/>
      <c r="C52" s="53"/>
      <c r="D52" s="53"/>
      <c r="E52" s="53"/>
      <c r="F52" s="52"/>
      <c r="G52" s="52"/>
      <c r="H52" s="52">
        <f t="shared" ref="H52:Z52" ca="1" si="36">-H$48*$D46*$D30/1000000</f>
        <v>0</v>
      </c>
      <c r="I52" s="52">
        <f t="shared" ca="1" si="36"/>
        <v>0</v>
      </c>
      <c r="J52" s="52">
        <f t="shared" ca="1" si="36"/>
        <v>0</v>
      </c>
      <c r="K52" s="52">
        <f t="shared" ca="1" si="36"/>
        <v>0</v>
      </c>
      <c r="L52" s="52">
        <f t="shared" ca="1" si="36"/>
        <v>0</v>
      </c>
      <c r="M52" s="52">
        <f t="shared" ca="1" si="36"/>
        <v>0</v>
      </c>
      <c r="N52" s="52">
        <f t="shared" ca="1" si="36"/>
        <v>0</v>
      </c>
      <c r="O52" s="52">
        <f t="shared" ca="1" si="36"/>
        <v>0</v>
      </c>
      <c r="P52" s="52">
        <f t="shared" ca="1" si="36"/>
        <v>0</v>
      </c>
      <c r="Q52" s="52">
        <f t="shared" ca="1" si="36"/>
        <v>0</v>
      </c>
      <c r="R52" s="52">
        <f t="shared" ca="1" si="36"/>
        <v>0</v>
      </c>
      <c r="S52" s="52">
        <f t="shared" ca="1" si="36"/>
        <v>0</v>
      </c>
      <c r="T52" s="52">
        <f t="shared" ca="1" si="36"/>
        <v>0</v>
      </c>
      <c r="U52" s="52">
        <f t="shared" ca="1" si="36"/>
        <v>0</v>
      </c>
      <c r="V52" s="52">
        <f t="shared" ca="1" si="36"/>
        <v>0</v>
      </c>
      <c r="W52" s="52">
        <f t="shared" ca="1" si="36"/>
        <v>0</v>
      </c>
      <c r="X52" s="52">
        <f t="shared" ca="1" si="36"/>
        <v>0</v>
      </c>
      <c r="Y52" s="52">
        <f t="shared" ca="1" si="36"/>
        <v>0</v>
      </c>
      <c r="Z52" s="52">
        <f t="shared" ca="1" si="36"/>
        <v>0</v>
      </c>
      <c r="AA52" s="52"/>
    </row>
    <row r="53" spans="1:27" s="22" customFormat="1" x14ac:dyDescent="0.25">
      <c r="A53" s="22" t="s">
        <v>146</v>
      </c>
      <c r="B53" s="46"/>
      <c r="C53" s="53">
        <f ca="1">SUMPRODUCT($H53:$Z53,$H$8:$Z$8)</f>
        <v>0</v>
      </c>
      <c r="D53" s="56">
        <f ca="1">AVERAGEIF($H$11:$Z$11,1,$H53:$Z53)</f>
        <v>0</v>
      </c>
      <c r="E53" s="51"/>
      <c r="F53" s="52"/>
      <c r="G53" s="52"/>
      <c r="H53" s="52">
        <f ca="1">H52+H51</f>
        <v>0</v>
      </c>
      <c r="I53" s="52">
        <f t="shared" ref="I53:Z53" ca="1" si="37">I52+I51</f>
        <v>0</v>
      </c>
      <c r="J53" s="52">
        <f t="shared" ca="1" si="37"/>
        <v>0</v>
      </c>
      <c r="K53" s="52">
        <f t="shared" ca="1" si="37"/>
        <v>0</v>
      </c>
      <c r="L53" s="52">
        <f t="shared" ca="1" si="37"/>
        <v>0</v>
      </c>
      <c r="M53" s="52">
        <f t="shared" ca="1" si="37"/>
        <v>0</v>
      </c>
      <c r="N53" s="52">
        <f t="shared" ca="1" si="37"/>
        <v>0</v>
      </c>
      <c r="O53" s="52">
        <f t="shared" ca="1" si="37"/>
        <v>0</v>
      </c>
      <c r="P53" s="52">
        <f t="shared" ca="1" si="37"/>
        <v>0</v>
      </c>
      <c r="Q53" s="52">
        <f t="shared" ca="1" si="37"/>
        <v>0</v>
      </c>
      <c r="R53" s="52">
        <f t="shared" ca="1" si="37"/>
        <v>0</v>
      </c>
      <c r="S53" s="52">
        <f t="shared" ca="1" si="37"/>
        <v>0</v>
      </c>
      <c r="T53" s="52">
        <f t="shared" ca="1" si="37"/>
        <v>0</v>
      </c>
      <c r="U53" s="52">
        <f t="shared" ca="1" si="37"/>
        <v>0</v>
      </c>
      <c r="V53" s="52">
        <f t="shared" ca="1" si="37"/>
        <v>0</v>
      </c>
      <c r="W53" s="52">
        <f t="shared" ca="1" si="37"/>
        <v>0</v>
      </c>
      <c r="X53" s="52">
        <f t="shared" ca="1" si="37"/>
        <v>0</v>
      </c>
      <c r="Y53" s="52">
        <f t="shared" ca="1" si="37"/>
        <v>0</v>
      </c>
      <c r="Z53" s="52">
        <f t="shared" ca="1" si="37"/>
        <v>0</v>
      </c>
      <c r="AA53" s="52"/>
    </row>
    <row r="54" spans="1:27" s="22" customFormat="1" x14ac:dyDescent="0.25">
      <c r="A54" s="22" t="s">
        <v>57</v>
      </c>
      <c r="B54" s="46"/>
      <c r="D54" s="53">
        <f ca="1">SUMPRODUCT($H54:$Z54,$H$8:$Z$8)</f>
        <v>0</v>
      </c>
      <c r="E54" s="53"/>
      <c r="F54" s="52"/>
      <c r="G54" s="52"/>
      <c r="H54" s="52">
        <f ca="1">H50+H53</f>
        <v>0</v>
      </c>
      <c r="I54" s="52">
        <f t="shared" ref="I54:Z54" ca="1" si="38">I50+I53</f>
        <v>0</v>
      </c>
      <c r="J54" s="52">
        <f t="shared" ca="1" si="38"/>
        <v>0</v>
      </c>
      <c r="K54" s="52">
        <f t="shared" ca="1" si="38"/>
        <v>0</v>
      </c>
      <c r="L54" s="52">
        <f t="shared" ca="1" si="38"/>
        <v>0</v>
      </c>
      <c r="M54" s="52">
        <f t="shared" ca="1" si="38"/>
        <v>0</v>
      </c>
      <c r="N54" s="52">
        <f t="shared" ca="1" si="38"/>
        <v>0</v>
      </c>
      <c r="O54" s="52">
        <f t="shared" ca="1" si="38"/>
        <v>0</v>
      </c>
      <c r="P54" s="52">
        <f t="shared" ca="1" si="38"/>
        <v>0</v>
      </c>
      <c r="Q54" s="52">
        <f t="shared" ca="1" si="38"/>
        <v>0</v>
      </c>
      <c r="R54" s="52">
        <f t="shared" ca="1" si="38"/>
        <v>0</v>
      </c>
      <c r="S54" s="52">
        <f t="shared" ca="1" si="38"/>
        <v>0</v>
      </c>
      <c r="T54" s="52">
        <f t="shared" ca="1" si="38"/>
        <v>0</v>
      </c>
      <c r="U54" s="52">
        <f t="shared" ca="1" si="38"/>
        <v>0</v>
      </c>
      <c r="V54" s="52">
        <f t="shared" ca="1" si="38"/>
        <v>0</v>
      </c>
      <c r="W54" s="52">
        <f t="shared" ca="1" si="38"/>
        <v>0</v>
      </c>
      <c r="X54" s="52">
        <f t="shared" ca="1" si="38"/>
        <v>0</v>
      </c>
      <c r="Y54" s="52">
        <f t="shared" ca="1" si="38"/>
        <v>0</v>
      </c>
      <c r="Z54" s="52">
        <f t="shared" ca="1" si="38"/>
        <v>0</v>
      </c>
      <c r="AA54" s="52"/>
    </row>
    <row r="55" spans="1:27" s="22" customFormat="1" x14ac:dyDescent="0.25">
      <c r="B55" s="46"/>
      <c r="C55" s="53"/>
      <c r="D55" s="53"/>
      <c r="E55" s="53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</row>
    <row r="56" spans="1:27" s="22" customFormat="1" x14ac:dyDescent="0.25">
      <c r="A56" s="12" t="s">
        <v>126</v>
      </c>
      <c r="B56" s="46"/>
    </row>
    <row r="57" spans="1:27" s="22" customFormat="1" x14ac:dyDescent="0.25">
      <c r="A57" s="72" t="s">
        <v>144</v>
      </c>
      <c r="B57" s="46"/>
    </row>
    <row r="58" spans="1:27" s="22" customFormat="1" x14ac:dyDescent="0.25">
      <c r="A58" s="78" t="s">
        <v>158</v>
      </c>
      <c r="B58" s="46" t="s">
        <v>0</v>
      </c>
      <c r="D58" s="79">
        <f ca="1">OFFSET(Assumptions!$C$40,0,MATCH($A$4,scenarios,0)-1)</f>
        <v>0</v>
      </c>
    </row>
    <row r="59" spans="1:27" s="22" customFormat="1" x14ac:dyDescent="0.25">
      <c r="A59" s="78" t="s">
        <v>192</v>
      </c>
      <c r="B59" s="46" t="s">
        <v>75</v>
      </c>
      <c r="D59" s="79">
        <f ca="1">OFFSET(Assumptions!$C$41,0,MATCH($A$4,scenarios,0)-1)</f>
        <v>0</v>
      </c>
    </row>
    <row r="60" spans="1:27" s="22" customFormat="1" x14ac:dyDescent="0.25">
      <c r="A60" s="12"/>
      <c r="B60" s="46"/>
    </row>
    <row r="61" spans="1:27" s="22" customFormat="1" x14ac:dyDescent="0.25">
      <c r="A61" s="22" t="s">
        <v>23</v>
      </c>
      <c r="B61" s="46"/>
      <c r="C61" s="53">
        <f ca="1">SUMPRODUCT($H61:$Z61,$H$8:$Z$8)</f>
        <v>0</v>
      </c>
      <c r="D61" s="53"/>
      <c r="E61" s="53"/>
      <c r="H61" s="52">
        <f ca="1">H$11*$D$59</f>
        <v>0</v>
      </c>
      <c r="I61" s="52">
        <f t="shared" ref="I61:Z61" ca="1" si="39">I$11*$D$59</f>
        <v>0</v>
      </c>
      <c r="J61" s="52">
        <f t="shared" ca="1" si="39"/>
        <v>0</v>
      </c>
      <c r="K61" s="52">
        <f t="shared" ca="1" si="39"/>
        <v>0</v>
      </c>
      <c r="L61" s="52">
        <f t="shared" ca="1" si="39"/>
        <v>0</v>
      </c>
      <c r="M61" s="52">
        <f t="shared" ca="1" si="39"/>
        <v>0</v>
      </c>
      <c r="N61" s="52">
        <f t="shared" ca="1" si="39"/>
        <v>0</v>
      </c>
      <c r="O61" s="52">
        <f t="shared" ca="1" si="39"/>
        <v>0</v>
      </c>
      <c r="P61" s="52">
        <f t="shared" ca="1" si="39"/>
        <v>0</v>
      </c>
      <c r="Q61" s="52">
        <f t="shared" ca="1" si="39"/>
        <v>0</v>
      </c>
      <c r="R61" s="52">
        <f t="shared" ca="1" si="39"/>
        <v>0</v>
      </c>
      <c r="S61" s="52">
        <f t="shared" ca="1" si="39"/>
        <v>0</v>
      </c>
      <c r="T61" s="52">
        <f t="shared" ca="1" si="39"/>
        <v>0</v>
      </c>
      <c r="U61" s="52">
        <f t="shared" ca="1" si="39"/>
        <v>0</v>
      </c>
      <c r="V61" s="52">
        <f t="shared" ca="1" si="39"/>
        <v>0</v>
      </c>
      <c r="W61" s="52">
        <f t="shared" ca="1" si="39"/>
        <v>0</v>
      </c>
      <c r="X61" s="52">
        <f t="shared" ca="1" si="39"/>
        <v>0</v>
      </c>
      <c r="Y61" s="52">
        <f t="shared" ca="1" si="39"/>
        <v>0</v>
      </c>
      <c r="Z61" s="52">
        <f t="shared" ca="1" si="39"/>
        <v>0</v>
      </c>
    </row>
    <row r="62" spans="1:27" s="22" customFormat="1" x14ac:dyDescent="0.25">
      <c r="B62" s="46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</row>
    <row r="63" spans="1:27" s="22" customFormat="1" x14ac:dyDescent="0.25">
      <c r="A63" s="40" t="s">
        <v>97</v>
      </c>
      <c r="B63" s="46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</row>
    <row r="64" spans="1:27" s="22" customFormat="1" x14ac:dyDescent="0.25">
      <c r="A64" s="24" t="s">
        <v>144</v>
      </c>
      <c r="B64" s="46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</row>
    <row r="65" spans="1:27" s="22" customFormat="1" x14ac:dyDescent="0.25">
      <c r="A65" s="78" t="s">
        <v>64</v>
      </c>
      <c r="B65" s="46" t="s">
        <v>75</v>
      </c>
      <c r="D65" s="79">
        <f ca="1">OFFSET(Assumptions!$C$44,0,MATCH($A$4,scenarios,0)-1)</f>
        <v>-8.86</v>
      </c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</row>
    <row r="66" spans="1:27" s="22" customFormat="1" x14ac:dyDescent="0.25">
      <c r="A66" s="78" t="s">
        <v>66</v>
      </c>
      <c r="B66" s="46" t="s">
        <v>75</v>
      </c>
      <c r="D66" s="79">
        <f ca="1">OFFSET(Assumptions!$C$45,0,MATCH($A$4,scenarios,0)-1)</f>
        <v>-0.15</v>
      </c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</row>
    <row r="67" spans="1:27" s="22" customFormat="1" x14ac:dyDescent="0.25">
      <c r="A67" s="78" t="s">
        <v>65</v>
      </c>
      <c r="B67" s="46" t="s">
        <v>75</v>
      </c>
      <c r="D67" s="79">
        <f ca="1">OFFSET(Assumptions!$C$46,0,MATCH($A$4,scenarios,0)-1)</f>
        <v>-3.7499999999999999E-2</v>
      </c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</row>
    <row r="68" spans="1:27" s="22" customFormat="1" x14ac:dyDescent="0.25">
      <c r="A68" s="22" t="s">
        <v>115</v>
      </c>
      <c r="B68" s="46"/>
      <c r="C68" s="53">
        <f ca="1">SUMPRODUCT($H68:$Z68,$H$8:$Z$8)</f>
        <v>-8.052242791028835</v>
      </c>
      <c r="D68" s="53"/>
      <c r="E68" s="53"/>
      <c r="H68" s="52">
        <f ca="1">IF(H$13,SUM($D$65:$D$67),0)</f>
        <v>0</v>
      </c>
      <c r="I68" s="52">
        <f t="shared" ref="I68:Z68" ca="1" si="40">IF(I$13,SUM($D$65:$D$67),0)</f>
        <v>-9.0474999999999994</v>
      </c>
      <c r="J68" s="52">
        <f t="shared" ca="1" si="40"/>
        <v>0</v>
      </c>
      <c r="K68" s="52">
        <f t="shared" ca="1" si="40"/>
        <v>0</v>
      </c>
      <c r="L68" s="52">
        <f t="shared" ca="1" si="40"/>
        <v>0</v>
      </c>
      <c r="M68" s="52">
        <f t="shared" ca="1" si="40"/>
        <v>0</v>
      </c>
      <c r="N68" s="52">
        <f t="shared" ca="1" si="40"/>
        <v>0</v>
      </c>
      <c r="O68" s="52">
        <f t="shared" ca="1" si="40"/>
        <v>0</v>
      </c>
      <c r="P68" s="52">
        <f t="shared" ca="1" si="40"/>
        <v>0</v>
      </c>
      <c r="Q68" s="52">
        <f t="shared" ca="1" si="40"/>
        <v>0</v>
      </c>
      <c r="R68" s="52">
        <f t="shared" ca="1" si="40"/>
        <v>0</v>
      </c>
      <c r="S68" s="52">
        <f t="shared" ca="1" si="40"/>
        <v>0</v>
      </c>
      <c r="T68" s="52">
        <f t="shared" ca="1" si="40"/>
        <v>0</v>
      </c>
      <c r="U68" s="52">
        <f t="shared" ca="1" si="40"/>
        <v>0</v>
      </c>
      <c r="V68" s="52">
        <f t="shared" ca="1" si="40"/>
        <v>0</v>
      </c>
      <c r="W68" s="52">
        <f t="shared" ca="1" si="40"/>
        <v>0</v>
      </c>
      <c r="X68" s="52">
        <f t="shared" ca="1" si="40"/>
        <v>0</v>
      </c>
      <c r="Y68" s="52">
        <f t="shared" ca="1" si="40"/>
        <v>0</v>
      </c>
      <c r="Z68" s="52">
        <f t="shared" ca="1" si="40"/>
        <v>0</v>
      </c>
      <c r="AA68" s="52"/>
    </row>
    <row r="69" spans="1:27" s="22" customFormat="1" x14ac:dyDescent="0.25">
      <c r="B69" s="46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</row>
    <row r="70" spans="1:27" s="22" customFormat="1" x14ac:dyDescent="0.25">
      <c r="A70" s="40" t="s">
        <v>95</v>
      </c>
      <c r="B70" s="46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</row>
    <row r="71" spans="1:27" s="22" customFormat="1" x14ac:dyDescent="0.25">
      <c r="A71" s="24" t="s">
        <v>144</v>
      </c>
      <c r="B71" s="46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</row>
    <row r="72" spans="1:27" s="22" customFormat="1" x14ac:dyDescent="0.25">
      <c r="A72" s="78" t="s">
        <v>149</v>
      </c>
      <c r="B72" s="46" t="s">
        <v>74</v>
      </c>
      <c r="D72" s="79">
        <f ca="1">OFFSET(Assumptions!$C$50,0,MATCH($A$4,scenarios,0)-1)</f>
        <v>9.9959999999999997E-3</v>
      </c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2"/>
    </row>
    <row r="73" spans="1:27" s="22" customFormat="1" x14ac:dyDescent="0.25">
      <c r="A73" s="78" t="s">
        <v>150</v>
      </c>
      <c r="B73" s="46" t="s">
        <v>74</v>
      </c>
      <c r="D73" s="79">
        <f ca="1">OFFSET(Assumptions!$C$51,0,MATCH($A$4,scenarios,0)-1)</f>
        <v>2.4E-2</v>
      </c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</row>
    <row r="74" spans="1:27" s="22" customFormat="1" x14ac:dyDescent="0.25">
      <c r="A74" s="78" t="s">
        <v>151</v>
      </c>
      <c r="B74" s="46" t="s">
        <v>74</v>
      </c>
      <c r="D74" s="79">
        <f ca="1">OFFSET(Assumptions!$C$52,0,MATCH($A$4,scenarios,0)-1)</f>
        <v>0.41561999999999999</v>
      </c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</row>
    <row r="75" spans="1:27" s="22" customFormat="1" x14ac:dyDescent="0.25">
      <c r="A75" s="78" t="s">
        <v>152</v>
      </c>
      <c r="B75" s="46" t="s">
        <v>74</v>
      </c>
      <c r="D75" s="79">
        <f ca="1">OFFSET(Assumptions!$C$53,0,MATCH($A$4,scenarios,0)-1)</f>
        <v>0</v>
      </c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</row>
    <row r="76" spans="1:27" s="22" customFormat="1" x14ac:dyDescent="0.25">
      <c r="A76" s="78" t="s">
        <v>91</v>
      </c>
      <c r="B76" s="46" t="s">
        <v>74</v>
      </c>
      <c r="D76" s="79">
        <f ca="1">OFFSET(Assumptions!$C$54,0,MATCH($A$4,scenarios,0)-1)</f>
        <v>-0.15000000000000002</v>
      </c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</row>
    <row r="77" spans="1:27" s="22" customFormat="1" x14ac:dyDescent="0.25">
      <c r="A77" s="78" t="s">
        <v>98</v>
      </c>
      <c r="B77" s="46" t="s">
        <v>74</v>
      </c>
      <c r="D77" s="79">
        <f ca="1">OFFSET(Assumptions!$C$55,0,MATCH($A$4,scenarios,0)-1)</f>
        <v>-0.05</v>
      </c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</row>
    <row r="78" spans="1:27" s="22" customFormat="1" x14ac:dyDescent="0.25">
      <c r="A78" s="78" t="s">
        <v>88</v>
      </c>
      <c r="B78" s="46" t="s">
        <v>75</v>
      </c>
      <c r="D78" s="79">
        <f ca="1">OFFSET(Assumptions!$C$56,0,MATCH($A$4,scenarios,0)-1)</f>
        <v>-0.16</v>
      </c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</row>
    <row r="79" spans="1:27" s="22" customFormat="1" x14ac:dyDescent="0.25">
      <c r="A79" s="40"/>
      <c r="B79" s="46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2"/>
    </row>
    <row r="80" spans="1:27" s="22" customFormat="1" x14ac:dyDescent="0.25">
      <c r="A80" s="22" t="s">
        <v>118</v>
      </c>
      <c r="B80" s="46"/>
      <c r="C80" s="53">
        <f ca="1">SUMPRODUCT($H80:$Z80,$H$8:$Z$8)</f>
        <v>-0.12673498611808326</v>
      </c>
      <c r="D80" s="53"/>
      <c r="E80" s="53"/>
      <c r="H80" s="52">
        <f ca="1">IF(H$14,$D$78,0)</f>
        <v>0</v>
      </c>
      <c r="I80" s="52">
        <f t="shared" ref="I80:Z80" ca="1" si="41">IF(I$14,$D$78,0)</f>
        <v>0</v>
      </c>
      <c r="J80" s="52">
        <f t="shared" ca="1" si="41"/>
        <v>0</v>
      </c>
      <c r="K80" s="52">
        <f t="shared" ca="1" si="41"/>
        <v>-0.16</v>
      </c>
      <c r="L80" s="52">
        <f t="shared" ca="1" si="41"/>
        <v>0</v>
      </c>
      <c r="M80" s="52">
        <f t="shared" ca="1" si="41"/>
        <v>0</v>
      </c>
      <c r="N80" s="52">
        <f t="shared" ca="1" si="41"/>
        <v>0</v>
      </c>
      <c r="O80" s="52">
        <f t="shared" ca="1" si="41"/>
        <v>0</v>
      </c>
      <c r="P80" s="52">
        <f t="shared" ca="1" si="41"/>
        <v>0</v>
      </c>
      <c r="Q80" s="52">
        <f t="shared" ca="1" si="41"/>
        <v>0</v>
      </c>
      <c r="R80" s="52">
        <f t="shared" ca="1" si="41"/>
        <v>0</v>
      </c>
      <c r="S80" s="52">
        <f t="shared" ca="1" si="41"/>
        <v>0</v>
      </c>
      <c r="T80" s="52">
        <f t="shared" ca="1" si="41"/>
        <v>0</v>
      </c>
      <c r="U80" s="52">
        <f t="shared" ca="1" si="41"/>
        <v>0</v>
      </c>
      <c r="V80" s="52">
        <f t="shared" ca="1" si="41"/>
        <v>0</v>
      </c>
      <c r="W80" s="52">
        <f t="shared" ca="1" si="41"/>
        <v>0</v>
      </c>
      <c r="X80" s="52">
        <f t="shared" ca="1" si="41"/>
        <v>0</v>
      </c>
      <c r="Y80" s="52">
        <f t="shared" ca="1" si="41"/>
        <v>0</v>
      </c>
      <c r="Z80" s="52">
        <f t="shared" ca="1" si="41"/>
        <v>0</v>
      </c>
      <c r="AA80" s="52"/>
    </row>
    <row r="81" spans="1:27" s="22" customFormat="1" x14ac:dyDescent="0.25">
      <c r="A81" s="22" t="s">
        <v>153</v>
      </c>
      <c r="B81" s="46"/>
      <c r="C81" s="53">
        <f ca="1">SUMPRODUCT($H81:$Z81,$H$8:$Z$8)</f>
        <v>1.9202986035673495</v>
      </c>
      <c r="D81" s="53"/>
      <c r="E81" s="53"/>
      <c r="H81" s="52">
        <f ca="1">IF(H$11,SUM($D$72:$D$77),0)</f>
        <v>0</v>
      </c>
      <c r="I81" s="52">
        <f t="shared" ref="I81:Z81" ca="1" si="42">IF(I$11,SUM($D$72:$D$77),0)</f>
        <v>0</v>
      </c>
      <c r="J81" s="52">
        <f t="shared" ca="1" si="42"/>
        <v>0</v>
      </c>
      <c r="K81" s="52">
        <f t="shared" ca="1" si="42"/>
        <v>0</v>
      </c>
      <c r="L81" s="52">
        <f t="shared" ca="1" si="42"/>
        <v>0.249616</v>
      </c>
      <c r="M81" s="52">
        <f t="shared" ca="1" si="42"/>
        <v>0.249616</v>
      </c>
      <c r="N81" s="52">
        <f t="shared" ca="1" si="42"/>
        <v>0.249616</v>
      </c>
      <c r="O81" s="52">
        <f t="shared" ca="1" si="42"/>
        <v>0.249616</v>
      </c>
      <c r="P81" s="52">
        <f t="shared" ca="1" si="42"/>
        <v>0.249616</v>
      </c>
      <c r="Q81" s="52">
        <f t="shared" ca="1" si="42"/>
        <v>0.249616</v>
      </c>
      <c r="R81" s="52">
        <f t="shared" ca="1" si="42"/>
        <v>0.249616</v>
      </c>
      <c r="S81" s="52">
        <f t="shared" ca="1" si="42"/>
        <v>0.249616</v>
      </c>
      <c r="T81" s="52">
        <f t="shared" ca="1" si="42"/>
        <v>0.249616</v>
      </c>
      <c r="U81" s="52">
        <f t="shared" ca="1" si="42"/>
        <v>0.249616</v>
      </c>
      <c r="V81" s="52">
        <f t="shared" ca="1" si="42"/>
        <v>0.249616</v>
      </c>
      <c r="W81" s="52">
        <f t="shared" ca="1" si="42"/>
        <v>0.249616</v>
      </c>
      <c r="X81" s="52">
        <f t="shared" ca="1" si="42"/>
        <v>0.249616</v>
      </c>
      <c r="Y81" s="52">
        <f t="shared" ca="1" si="42"/>
        <v>0.249616</v>
      </c>
      <c r="Z81" s="52">
        <f t="shared" ca="1" si="42"/>
        <v>0.249616</v>
      </c>
      <c r="AA81" s="52"/>
    </row>
    <row r="82" spans="1:27" s="22" customFormat="1" x14ac:dyDescent="0.25">
      <c r="A82" s="22" t="s">
        <v>101</v>
      </c>
      <c r="B82" s="46"/>
      <c r="D82" s="53">
        <f ca="1">SUMPRODUCT($H82:$Z82,$H$8:$Z$8)</f>
        <v>1.793563617449266</v>
      </c>
      <c r="E82" s="58"/>
      <c r="H82" s="52">
        <f ca="1">H81+H80</f>
        <v>0</v>
      </c>
      <c r="I82" s="52">
        <f t="shared" ref="I82:Z82" ca="1" si="43">I81+I80</f>
        <v>0</v>
      </c>
      <c r="J82" s="52">
        <f t="shared" ca="1" si="43"/>
        <v>0</v>
      </c>
      <c r="K82" s="52">
        <f t="shared" ca="1" si="43"/>
        <v>-0.16</v>
      </c>
      <c r="L82" s="52">
        <f t="shared" ca="1" si="43"/>
        <v>0.249616</v>
      </c>
      <c r="M82" s="52">
        <f t="shared" ca="1" si="43"/>
        <v>0.249616</v>
      </c>
      <c r="N82" s="52">
        <f t="shared" ca="1" si="43"/>
        <v>0.249616</v>
      </c>
      <c r="O82" s="52">
        <f t="shared" ca="1" si="43"/>
        <v>0.249616</v>
      </c>
      <c r="P82" s="52">
        <f t="shared" ca="1" si="43"/>
        <v>0.249616</v>
      </c>
      <c r="Q82" s="52">
        <f t="shared" ca="1" si="43"/>
        <v>0.249616</v>
      </c>
      <c r="R82" s="52">
        <f t="shared" ca="1" si="43"/>
        <v>0.249616</v>
      </c>
      <c r="S82" s="52">
        <f t="shared" ca="1" si="43"/>
        <v>0.249616</v>
      </c>
      <c r="T82" s="52">
        <f t="shared" ca="1" si="43"/>
        <v>0.249616</v>
      </c>
      <c r="U82" s="52">
        <f t="shared" ca="1" si="43"/>
        <v>0.249616</v>
      </c>
      <c r="V82" s="52">
        <f t="shared" ca="1" si="43"/>
        <v>0.249616</v>
      </c>
      <c r="W82" s="52">
        <f t="shared" ca="1" si="43"/>
        <v>0.249616</v>
      </c>
      <c r="X82" s="52">
        <f t="shared" ca="1" si="43"/>
        <v>0.249616</v>
      </c>
      <c r="Y82" s="52">
        <f t="shared" ca="1" si="43"/>
        <v>0.249616</v>
      </c>
      <c r="Z82" s="52">
        <f t="shared" ca="1" si="43"/>
        <v>0.249616</v>
      </c>
      <c r="AA82" s="52"/>
    </row>
    <row r="83" spans="1:27" s="22" customFormat="1" x14ac:dyDescent="0.25">
      <c r="B83" s="46"/>
      <c r="C83" s="53"/>
      <c r="D83" s="53"/>
      <c r="E83" s="53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2"/>
    </row>
    <row r="84" spans="1:27" s="22" customFormat="1" x14ac:dyDescent="0.25">
      <c r="A84" s="40" t="s">
        <v>96</v>
      </c>
      <c r="B84" s="46"/>
      <c r="C84" s="53"/>
      <c r="D84" s="53"/>
      <c r="E84" s="53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</row>
    <row r="85" spans="1:27" s="22" customFormat="1" x14ac:dyDescent="0.25">
      <c r="A85" s="24" t="s">
        <v>144</v>
      </c>
      <c r="B85" s="46"/>
      <c r="C85" s="53"/>
      <c r="D85" s="53"/>
      <c r="E85" s="53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  <c r="AA85" s="52"/>
    </row>
    <row r="86" spans="1:27" s="22" customFormat="1" x14ac:dyDescent="0.25">
      <c r="A86" s="78" t="s">
        <v>90</v>
      </c>
      <c r="B86" s="46"/>
      <c r="C86" s="53"/>
      <c r="D86" s="79">
        <f ca="1">OFFSET(Assumptions!$C$60,0,MATCH($A$4,scenarios,0)-1)</f>
        <v>-0.38500000000000001</v>
      </c>
      <c r="E86" s="53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</row>
    <row r="87" spans="1:27" s="22" customFormat="1" x14ac:dyDescent="0.25">
      <c r="A87" s="78" t="s">
        <v>86</v>
      </c>
      <c r="B87" s="46"/>
      <c r="C87" s="53"/>
      <c r="D87" s="79">
        <f ca="1">OFFSET(Assumptions!$C$61,0,MATCH($A$4,scenarios,0)-1)</f>
        <v>-0.75</v>
      </c>
      <c r="E87" s="53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</row>
    <row r="88" spans="1:27" s="22" customFormat="1" x14ac:dyDescent="0.25">
      <c r="A88" s="78" t="s">
        <v>89</v>
      </c>
      <c r="B88" s="46"/>
      <c r="C88" s="53"/>
      <c r="D88" s="79">
        <f ca="1">OFFSET(Assumptions!$C$62,0,MATCH($A$4,scenarios,0)-1)</f>
        <v>-0.375</v>
      </c>
      <c r="E88" s="53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2"/>
    </row>
    <row r="89" spans="1:27" s="22" customFormat="1" x14ac:dyDescent="0.25">
      <c r="A89" s="78"/>
      <c r="B89" s="46"/>
      <c r="C89" s="53"/>
      <c r="D89" s="79"/>
      <c r="E89" s="53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52"/>
    </row>
    <row r="90" spans="1:27" s="22" customFormat="1" x14ac:dyDescent="0.25">
      <c r="A90" s="22" t="s">
        <v>119</v>
      </c>
      <c r="B90" s="46"/>
      <c r="C90" s="53">
        <f ca="1">SUMPRODUCT($H90:$Z90,$H$8:$Z$8)</f>
        <v>-1.3438946244215022</v>
      </c>
      <c r="D90" s="53"/>
      <c r="E90" s="53"/>
      <c r="H90" s="52">
        <f ca="1">IF(H$15,SUM($D$86:$D$88),0)</f>
        <v>0</v>
      </c>
      <c r="I90" s="52">
        <f t="shared" ref="I90:Z90" ca="1" si="44">IF(I$15,SUM($D$86:$D$88),0)</f>
        <v>-1.51</v>
      </c>
      <c r="J90" s="52">
        <f t="shared" ca="1" si="44"/>
        <v>0</v>
      </c>
      <c r="K90" s="52">
        <f t="shared" ca="1" si="44"/>
        <v>0</v>
      </c>
      <c r="L90" s="52">
        <f t="shared" ca="1" si="44"/>
        <v>0</v>
      </c>
      <c r="M90" s="52">
        <f t="shared" ca="1" si="44"/>
        <v>0</v>
      </c>
      <c r="N90" s="52">
        <f t="shared" ca="1" si="44"/>
        <v>0</v>
      </c>
      <c r="O90" s="52">
        <f t="shared" ca="1" si="44"/>
        <v>0</v>
      </c>
      <c r="P90" s="52">
        <f t="shared" ca="1" si="44"/>
        <v>0</v>
      </c>
      <c r="Q90" s="52">
        <f t="shared" ca="1" si="44"/>
        <v>0</v>
      </c>
      <c r="R90" s="52">
        <f t="shared" ca="1" si="44"/>
        <v>0</v>
      </c>
      <c r="S90" s="52">
        <f t="shared" ca="1" si="44"/>
        <v>0</v>
      </c>
      <c r="T90" s="52">
        <f t="shared" ca="1" si="44"/>
        <v>0</v>
      </c>
      <c r="U90" s="52">
        <f t="shared" ca="1" si="44"/>
        <v>0</v>
      </c>
      <c r="V90" s="52">
        <f t="shared" ca="1" si="44"/>
        <v>0</v>
      </c>
      <c r="W90" s="52">
        <f t="shared" ca="1" si="44"/>
        <v>0</v>
      </c>
      <c r="X90" s="52">
        <f t="shared" ca="1" si="44"/>
        <v>0</v>
      </c>
      <c r="Y90" s="52">
        <f t="shared" ca="1" si="44"/>
        <v>0</v>
      </c>
      <c r="Z90" s="52">
        <f t="shared" ca="1" si="44"/>
        <v>0</v>
      </c>
      <c r="AA90" s="52"/>
    </row>
    <row r="91" spans="1:27" s="22" customFormat="1" x14ac:dyDescent="0.25">
      <c r="B91" s="46"/>
      <c r="C91" s="53"/>
      <c r="D91" s="53"/>
      <c r="E91" s="53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</row>
    <row r="92" spans="1:27" s="22" customFormat="1" x14ac:dyDescent="0.25">
      <c r="A92" s="40" t="s">
        <v>99</v>
      </c>
      <c r="B92" s="46"/>
      <c r="C92" s="53"/>
      <c r="D92" s="53"/>
      <c r="E92" s="53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  <c r="AA92" s="52"/>
    </row>
    <row r="93" spans="1:27" s="22" customFormat="1" x14ac:dyDescent="0.25">
      <c r="A93" s="24" t="s">
        <v>144</v>
      </c>
      <c r="B93" s="46"/>
      <c r="C93" s="53"/>
      <c r="D93" s="53"/>
      <c r="E93" s="53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</row>
    <row r="94" spans="1:27" s="22" customFormat="1" x14ac:dyDescent="0.25">
      <c r="A94" s="78" t="s">
        <v>18</v>
      </c>
      <c r="B94" s="46"/>
      <c r="C94" s="53"/>
      <c r="D94" s="79">
        <f ca="1">OFFSET(Assumptions!$C$66,0,MATCH($A$4,scenarios,0)-1)</f>
        <v>0</v>
      </c>
      <c r="E94" s="53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52"/>
    </row>
    <row r="95" spans="1:27" s="22" customFormat="1" x14ac:dyDescent="0.25">
      <c r="A95" s="78"/>
      <c r="B95" s="46"/>
      <c r="C95" s="53"/>
      <c r="D95" s="79"/>
      <c r="E95" s="53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52"/>
    </row>
    <row r="96" spans="1:27" s="22" customFormat="1" x14ac:dyDescent="0.25">
      <c r="A96" s="22" t="s">
        <v>119</v>
      </c>
      <c r="B96" s="46"/>
      <c r="C96" s="53">
        <f ca="1">SUMPRODUCT($H96:$Z96,$H$8:$Z$8)</f>
        <v>0</v>
      </c>
      <c r="D96" s="53"/>
      <c r="E96" s="53"/>
      <c r="H96" s="52">
        <f ca="1">IF(H$16,$D$94,0)</f>
        <v>0</v>
      </c>
      <c r="I96" s="52">
        <f t="shared" ref="I96:Z96" ca="1" si="45">IF(I$16,$D$94,0)</f>
        <v>0</v>
      </c>
      <c r="J96" s="52">
        <f t="shared" ca="1" si="45"/>
        <v>0</v>
      </c>
      <c r="K96" s="52">
        <f t="shared" ca="1" si="45"/>
        <v>0</v>
      </c>
      <c r="L96" s="52">
        <f t="shared" ca="1" si="45"/>
        <v>0</v>
      </c>
      <c r="M96" s="52">
        <f t="shared" ca="1" si="45"/>
        <v>0</v>
      </c>
      <c r="N96" s="52">
        <f t="shared" ca="1" si="45"/>
        <v>0</v>
      </c>
      <c r="O96" s="52">
        <f t="shared" ca="1" si="45"/>
        <v>0</v>
      </c>
      <c r="P96" s="52">
        <f t="shared" ca="1" si="45"/>
        <v>0</v>
      </c>
      <c r="Q96" s="52">
        <f t="shared" ca="1" si="45"/>
        <v>0</v>
      </c>
      <c r="R96" s="52">
        <f t="shared" ca="1" si="45"/>
        <v>0</v>
      </c>
      <c r="S96" s="52">
        <f t="shared" ca="1" si="45"/>
        <v>0</v>
      </c>
      <c r="T96" s="52">
        <f t="shared" ca="1" si="45"/>
        <v>0</v>
      </c>
      <c r="U96" s="52">
        <f t="shared" ca="1" si="45"/>
        <v>0</v>
      </c>
      <c r="V96" s="52">
        <f t="shared" ca="1" si="45"/>
        <v>0</v>
      </c>
      <c r="W96" s="52">
        <f t="shared" ca="1" si="45"/>
        <v>0</v>
      </c>
      <c r="X96" s="52">
        <f t="shared" ca="1" si="45"/>
        <v>0</v>
      </c>
      <c r="Y96" s="52">
        <f t="shared" ca="1" si="45"/>
        <v>0</v>
      </c>
      <c r="Z96" s="52">
        <f t="shared" ca="1" si="45"/>
        <v>0</v>
      </c>
      <c r="AA96" s="52"/>
    </row>
    <row r="97" spans="1:28" s="22" customFormat="1" x14ac:dyDescent="0.25">
      <c r="B97" s="46"/>
      <c r="C97" s="53"/>
      <c r="D97" s="53"/>
      <c r="E97" s="53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</row>
    <row r="98" spans="1:28" s="22" customFormat="1" x14ac:dyDescent="0.25">
      <c r="A98" s="22" t="s">
        <v>154</v>
      </c>
      <c r="B98" s="46"/>
      <c r="C98" s="53">
        <f ca="1">SUM(C35:C96)</f>
        <v>7.6948532279530468E-4</v>
      </c>
      <c r="D98" s="53"/>
      <c r="E98" s="53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</row>
    <row r="99" spans="1:28" s="22" customFormat="1" x14ac:dyDescent="0.25">
      <c r="B99" s="46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52"/>
    </row>
    <row r="100" spans="1:28" s="22" customFormat="1" x14ac:dyDescent="0.25">
      <c r="A100" s="46"/>
      <c r="B100" s="46"/>
      <c r="C100" s="21"/>
      <c r="D100" s="21"/>
      <c r="E100" s="21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  <c r="AA100" s="59"/>
      <c r="AB100" s="59"/>
    </row>
    <row r="101" spans="1:28" s="22" customFormat="1" x14ac:dyDescent="0.25">
      <c r="A101" s="10"/>
      <c r="B101" s="46"/>
      <c r="C101" s="10"/>
      <c r="D101" s="10"/>
      <c r="E101" s="10"/>
      <c r="F101" s="47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49"/>
      <c r="AA101" s="49"/>
      <c r="AB101" s="49"/>
    </row>
    <row r="102" spans="1:28" s="22" customFormat="1" x14ac:dyDescent="0.25">
      <c r="A102" s="10"/>
      <c r="B102" s="46"/>
      <c r="C102" s="10"/>
      <c r="D102" s="10"/>
      <c r="E102" s="10"/>
      <c r="F102" s="47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  <c r="AB102" s="49"/>
    </row>
    <row r="103" spans="1:28" s="22" customFormat="1" x14ac:dyDescent="0.25">
      <c r="A103" s="10"/>
      <c r="B103" s="46"/>
      <c r="C103" s="10"/>
      <c r="D103" s="10"/>
      <c r="E103" s="10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  <c r="AA103" s="49"/>
      <c r="AB103" s="49"/>
    </row>
    <row r="104" spans="1:28" s="22" customFormat="1" x14ac:dyDescent="0.25">
      <c r="A104" s="21"/>
      <c r="B104" s="46"/>
      <c r="C104" s="21"/>
      <c r="D104" s="21"/>
      <c r="E104" s="21"/>
      <c r="F104" s="21"/>
      <c r="G104" s="47"/>
      <c r="H104" s="47"/>
      <c r="I104" s="47"/>
      <c r="J104" s="47"/>
      <c r="K104" s="47"/>
      <c r="L104" s="47"/>
      <c r="M104" s="47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 spans="1:28" s="22" customFormat="1" x14ac:dyDescent="0.25">
      <c r="A105" s="72"/>
      <c r="B105" s="46"/>
      <c r="C105" s="21"/>
      <c r="D105" s="21"/>
      <c r="E105" s="21"/>
      <c r="F105" s="21"/>
      <c r="G105" s="47"/>
      <c r="H105" s="47"/>
      <c r="I105" s="50"/>
      <c r="J105" s="47"/>
      <c r="K105" s="47"/>
      <c r="L105" s="47"/>
      <c r="M105" s="47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 spans="1:28" s="22" customFormat="1" x14ac:dyDescent="0.25">
      <c r="B106" s="46"/>
      <c r="D106" s="51"/>
      <c r="E106" s="51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52"/>
      <c r="S106" s="52"/>
      <c r="T106" s="52"/>
      <c r="U106" s="52"/>
      <c r="V106" s="52"/>
      <c r="W106" s="52"/>
      <c r="X106" s="52"/>
      <c r="Y106" s="52"/>
      <c r="Z106" s="52"/>
      <c r="AA106" s="52"/>
    </row>
    <row r="107" spans="1:28" s="22" customFormat="1" x14ac:dyDescent="0.25">
      <c r="B107" s="46"/>
      <c r="F107" s="52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52"/>
      <c r="R107" s="52"/>
      <c r="S107" s="52"/>
      <c r="T107" s="52"/>
      <c r="U107" s="52"/>
      <c r="V107" s="52"/>
      <c r="W107" s="52"/>
      <c r="X107" s="52"/>
      <c r="Y107" s="52"/>
      <c r="Z107" s="52"/>
      <c r="AA107" s="52"/>
    </row>
    <row r="108" spans="1:28" s="22" customFormat="1" x14ac:dyDescent="0.25">
      <c r="B108" s="46"/>
      <c r="C108" s="53"/>
      <c r="D108" s="53"/>
      <c r="E108" s="53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  <c r="R108" s="52"/>
      <c r="S108" s="52"/>
      <c r="T108" s="52"/>
      <c r="U108" s="52"/>
      <c r="V108" s="52"/>
      <c r="W108" s="52"/>
      <c r="X108" s="52"/>
      <c r="Y108" s="52"/>
      <c r="Z108" s="52"/>
      <c r="AA108" s="52"/>
    </row>
    <row r="109" spans="1:28" s="22" customFormat="1" x14ac:dyDescent="0.25">
      <c r="B109" s="46"/>
      <c r="C109" s="53"/>
      <c r="D109" s="51"/>
      <c r="E109" s="51"/>
      <c r="F109" s="54"/>
      <c r="G109" s="54"/>
      <c r="H109" s="52"/>
      <c r="I109" s="52"/>
      <c r="J109" s="52"/>
      <c r="K109" s="52"/>
      <c r="L109" s="52"/>
      <c r="M109" s="52"/>
      <c r="N109" s="52"/>
      <c r="O109" s="52"/>
      <c r="P109" s="52"/>
      <c r="Q109" s="52"/>
      <c r="R109" s="52"/>
      <c r="S109" s="52"/>
      <c r="T109" s="52"/>
      <c r="U109" s="52"/>
      <c r="V109" s="52"/>
      <c r="W109" s="52"/>
      <c r="X109" s="52"/>
      <c r="Y109" s="52"/>
      <c r="Z109" s="52"/>
      <c r="AA109" s="54"/>
    </row>
    <row r="110" spans="1:28" s="22" customFormat="1" x14ac:dyDescent="0.25">
      <c r="B110" s="46"/>
      <c r="D110" s="53"/>
      <c r="E110" s="53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52"/>
      <c r="R110" s="52"/>
      <c r="S110" s="52"/>
      <c r="T110" s="52"/>
      <c r="U110" s="52"/>
      <c r="V110" s="52"/>
      <c r="W110" s="52"/>
      <c r="X110" s="52"/>
      <c r="Y110" s="52"/>
      <c r="Z110" s="52"/>
      <c r="AA110" s="52"/>
    </row>
    <row r="111" spans="1:28" s="22" customFormat="1" x14ac:dyDescent="0.25">
      <c r="B111" s="46"/>
      <c r="C111" s="53"/>
      <c r="D111" s="53"/>
      <c r="E111" s="53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  <c r="AA111" s="55"/>
    </row>
    <row r="112" spans="1:28" s="22" customFormat="1" x14ac:dyDescent="0.25">
      <c r="B112" s="46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</row>
    <row r="113" spans="1:27" s="22" customFormat="1" x14ac:dyDescent="0.25">
      <c r="A113" s="72"/>
      <c r="B113" s="46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</row>
    <row r="114" spans="1:27" s="22" customFormat="1" x14ac:dyDescent="0.25">
      <c r="B114" s="46"/>
      <c r="D114" s="56"/>
      <c r="E114" s="56"/>
      <c r="F114" s="55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  <c r="Z114" s="57"/>
      <c r="AA114" s="57"/>
    </row>
    <row r="115" spans="1:27" s="22" customFormat="1" x14ac:dyDescent="0.25">
      <c r="B115" s="46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  <c r="W115" s="57"/>
      <c r="X115" s="57"/>
      <c r="Y115" s="57"/>
      <c r="Z115" s="57"/>
      <c r="AA115" s="57"/>
    </row>
    <row r="116" spans="1:27" s="22" customFormat="1" x14ac:dyDescent="0.25">
      <c r="B116" s="46"/>
      <c r="C116" s="53"/>
      <c r="D116" s="53"/>
      <c r="E116" s="53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  <c r="AA116" s="52"/>
    </row>
    <row r="117" spans="1:27" s="22" customFormat="1" x14ac:dyDescent="0.25">
      <c r="B117" s="46"/>
      <c r="C117" s="53"/>
      <c r="D117" s="51"/>
      <c r="E117" s="51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  <c r="R117" s="52"/>
      <c r="S117" s="52"/>
      <c r="T117" s="52"/>
      <c r="U117" s="52"/>
      <c r="V117" s="52"/>
      <c r="W117" s="52"/>
      <c r="X117" s="52"/>
      <c r="Y117" s="52"/>
      <c r="Z117" s="52"/>
      <c r="AA117" s="52"/>
    </row>
    <row r="118" spans="1:27" s="22" customFormat="1" x14ac:dyDescent="0.25">
      <c r="B118" s="46"/>
      <c r="D118" s="53"/>
      <c r="E118" s="53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</row>
    <row r="119" spans="1:27" s="22" customFormat="1" x14ac:dyDescent="0.25">
      <c r="B119" s="46"/>
      <c r="C119" s="53"/>
      <c r="D119" s="53"/>
      <c r="E119" s="53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55"/>
      <c r="Y119" s="55"/>
      <c r="Z119" s="55"/>
      <c r="AA119" s="55"/>
    </row>
    <row r="120" spans="1:27" s="22" customFormat="1" x14ac:dyDescent="0.25">
      <c r="A120" s="72"/>
      <c r="B120" s="46"/>
    </row>
    <row r="121" spans="1:27" s="22" customFormat="1" x14ac:dyDescent="0.25">
      <c r="B121" s="46"/>
      <c r="C121" s="53"/>
      <c r="D121" s="53"/>
      <c r="E121" s="53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/>
    </row>
    <row r="122" spans="1:27" s="22" customFormat="1" x14ac:dyDescent="0.25">
      <c r="B122" s="46"/>
      <c r="H122" s="52"/>
      <c r="I122" s="52"/>
      <c r="J122" s="52"/>
      <c r="K122" s="52"/>
      <c r="L122" s="52"/>
      <c r="M122" s="52"/>
      <c r="N122" s="52"/>
      <c r="O122" s="52"/>
      <c r="P122" s="52"/>
      <c r="Q122" s="52"/>
      <c r="R122" s="52"/>
      <c r="S122" s="52"/>
      <c r="T122" s="52"/>
      <c r="U122" s="52"/>
      <c r="V122" s="52"/>
      <c r="W122" s="52"/>
      <c r="X122" s="52"/>
      <c r="Y122" s="52"/>
      <c r="Z122" s="52"/>
    </row>
    <row r="123" spans="1:27" s="22" customFormat="1" x14ac:dyDescent="0.25">
      <c r="A123" s="24"/>
      <c r="B123" s="46"/>
      <c r="H123" s="52"/>
      <c r="I123" s="52"/>
      <c r="J123" s="52"/>
      <c r="K123" s="52"/>
      <c r="L123" s="52"/>
      <c r="M123" s="52"/>
      <c r="N123" s="52"/>
      <c r="O123" s="52"/>
      <c r="P123" s="52"/>
      <c r="Q123" s="52"/>
      <c r="R123" s="52"/>
      <c r="S123" s="52"/>
      <c r="T123" s="52"/>
      <c r="U123" s="52"/>
      <c r="V123" s="52"/>
      <c r="W123" s="52"/>
      <c r="X123" s="52"/>
      <c r="Y123" s="52"/>
      <c r="Z123" s="52"/>
    </row>
    <row r="124" spans="1:27" s="22" customFormat="1" x14ac:dyDescent="0.25">
      <c r="B124" s="46"/>
      <c r="C124" s="53"/>
      <c r="D124" s="53"/>
      <c r="E124" s="53"/>
      <c r="H124" s="52"/>
      <c r="I124" s="52"/>
      <c r="J124" s="52"/>
      <c r="K124" s="52"/>
      <c r="L124" s="52"/>
      <c r="M124" s="52"/>
      <c r="N124" s="52"/>
      <c r="O124" s="52"/>
      <c r="P124" s="52"/>
      <c r="Q124" s="52"/>
      <c r="R124" s="52"/>
      <c r="S124" s="52"/>
      <c r="T124" s="52"/>
      <c r="U124" s="52"/>
      <c r="V124" s="52"/>
      <c r="W124" s="52"/>
      <c r="X124" s="52"/>
      <c r="Y124" s="52"/>
      <c r="Z124" s="52"/>
    </row>
    <row r="125" spans="1:27" s="22" customFormat="1" x14ac:dyDescent="0.25">
      <c r="B125" s="46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52"/>
      <c r="U125" s="52"/>
      <c r="V125" s="52"/>
      <c r="W125" s="52"/>
      <c r="X125" s="52"/>
      <c r="Y125" s="52"/>
      <c r="Z125" s="52"/>
    </row>
    <row r="126" spans="1:27" s="22" customFormat="1" x14ac:dyDescent="0.25">
      <c r="A126" s="24"/>
      <c r="B126" s="46"/>
      <c r="H126" s="52"/>
      <c r="I126" s="52"/>
      <c r="J126" s="52"/>
      <c r="K126" s="52"/>
      <c r="L126" s="52"/>
      <c r="M126" s="52"/>
      <c r="N126" s="52"/>
      <c r="O126" s="52"/>
      <c r="P126" s="52"/>
      <c r="Q126" s="52"/>
      <c r="R126" s="52"/>
      <c r="S126" s="52"/>
      <c r="T126" s="52"/>
      <c r="U126" s="52"/>
      <c r="V126" s="52"/>
      <c r="W126" s="52"/>
      <c r="X126" s="52"/>
      <c r="Y126" s="52"/>
      <c r="Z126" s="52"/>
    </row>
    <row r="127" spans="1:27" s="22" customFormat="1" x14ac:dyDescent="0.25">
      <c r="B127" s="46"/>
      <c r="C127" s="53"/>
      <c r="D127" s="53"/>
      <c r="E127" s="53"/>
      <c r="H127" s="52"/>
      <c r="I127" s="52"/>
      <c r="J127" s="52"/>
      <c r="K127" s="52"/>
      <c r="L127" s="52"/>
      <c r="M127" s="52"/>
      <c r="N127" s="52"/>
      <c r="O127" s="52"/>
      <c r="P127" s="52"/>
      <c r="Q127" s="52"/>
      <c r="R127" s="52"/>
      <c r="S127" s="52"/>
      <c r="T127" s="52"/>
      <c r="U127" s="52"/>
      <c r="V127" s="52"/>
      <c r="W127" s="52"/>
      <c r="X127" s="52"/>
      <c r="Y127" s="52"/>
      <c r="Z127" s="52"/>
    </row>
    <row r="128" spans="1:27" s="22" customFormat="1" x14ac:dyDescent="0.25">
      <c r="B128" s="46"/>
      <c r="C128" s="53"/>
      <c r="D128" s="53"/>
      <c r="E128" s="53"/>
      <c r="H128" s="52"/>
      <c r="I128" s="52"/>
      <c r="J128" s="52"/>
      <c r="K128" s="52"/>
      <c r="L128" s="52"/>
      <c r="M128" s="52"/>
      <c r="N128" s="52"/>
      <c r="O128" s="52"/>
      <c r="P128" s="52"/>
      <c r="Q128" s="52"/>
      <c r="R128" s="52"/>
      <c r="S128" s="52"/>
      <c r="T128" s="52"/>
      <c r="U128" s="52"/>
      <c r="V128" s="52"/>
      <c r="W128" s="52"/>
      <c r="X128" s="52"/>
      <c r="Y128" s="52"/>
      <c r="Z128" s="52"/>
    </row>
    <row r="129" spans="1:27" s="22" customFormat="1" x14ac:dyDescent="0.25">
      <c r="B129" s="46"/>
      <c r="D129" s="58"/>
      <c r="E129" s="58"/>
      <c r="H129" s="52"/>
      <c r="I129" s="52"/>
      <c r="J129" s="52"/>
      <c r="K129" s="52"/>
      <c r="L129" s="52"/>
      <c r="M129" s="52"/>
      <c r="N129" s="52"/>
      <c r="O129" s="52"/>
      <c r="P129" s="52"/>
      <c r="Q129" s="52"/>
      <c r="R129" s="52"/>
      <c r="S129" s="52"/>
      <c r="T129" s="52"/>
      <c r="U129" s="52"/>
      <c r="V129" s="52"/>
      <c r="W129" s="52"/>
      <c r="X129" s="52"/>
      <c r="Y129" s="52"/>
      <c r="Z129" s="52"/>
    </row>
    <row r="130" spans="1:27" s="22" customFormat="1" x14ac:dyDescent="0.25">
      <c r="B130" s="46"/>
      <c r="C130" s="53"/>
      <c r="D130" s="53"/>
      <c r="E130" s="53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2"/>
    </row>
    <row r="131" spans="1:27" s="22" customFormat="1" x14ac:dyDescent="0.25">
      <c r="A131" s="24"/>
      <c r="B131" s="46"/>
      <c r="C131" s="53"/>
      <c r="D131" s="53"/>
      <c r="E131" s="53"/>
      <c r="H131" s="52"/>
      <c r="I131" s="52"/>
      <c r="J131" s="52"/>
      <c r="K131" s="52"/>
      <c r="L131" s="52"/>
      <c r="M131" s="52"/>
      <c r="N131" s="52"/>
      <c r="O131" s="52"/>
      <c r="P131" s="52"/>
      <c r="Q131" s="52"/>
      <c r="R131" s="52"/>
      <c r="S131" s="52"/>
      <c r="T131" s="52"/>
      <c r="U131" s="52"/>
      <c r="V131" s="52"/>
      <c r="W131" s="52"/>
      <c r="X131" s="52"/>
      <c r="Y131" s="52"/>
      <c r="Z131" s="52"/>
    </row>
    <row r="132" spans="1:27" s="22" customFormat="1" x14ac:dyDescent="0.25">
      <c r="B132" s="46"/>
      <c r="C132" s="53"/>
      <c r="D132" s="53"/>
      <c r="E132" s="53"/>
      <c r="H132" s="52"/>
      <c r="I132" s="52"/>
      <c r="J132" s="52"/>
      <c r="K132" s="52"/>
      <c r="L132" s="52"/>
      <c r="M132" s="52"/>
      <c r="N132" s="52"/>
      <c r="O132" s="52"/>
      <c r="P132" s="52"/>
      <c r="Q132" s="52"/>
      <c r="R132" s="52"/>
      <c r="S132" s="52"/>
      <c r="T132" s="52"/>
      <c r="U132" s="52"/>
      <c r="V132" s="52"/>
      <c r="W132" s="52"/>
      <c r="X132" s="52"/>
      <c r="Y132" s="52"/>
      <c r="Z132" s="52"/>
    </row>
    <row r="133" spans="1:27" s="22" customFormat="1" x14ac:dyDescent="0.25">
      <c r="B133" s="46"/>
      <c r="C133" s="53"/>
      <c r="D133" s="53"/>
      <c r="E133" s="53"/>
      <c r="H133" s="52"/>
      <c r="I133" s="52"/>
      <c r="J133" s="52"/>
      <c r="K133" s="52"/>
      <c r="L133" s="52"/>
      <c r="M133" s="52"/>
      <c r="N133" s="52"/>
      <c r="O133" s="52"/>
      <c r="P133" s="52"/>
      <c r="Q133" s="52"/>
      <c r="R133" s="52"/>
      <c r="S133" s="52"/>
      <c r="T133" s="52"/>
      <c r="U133" s="52"/>
      <c r="V133" s="52"/>
      <c r="W133" s="52"/>
      <c r="X133" s="52"/>
      <c r="Y133" s="52"/>
      <c r="Z133" s="52"/>
    </row>
    <row r="134" spans="1:27" s="22" customFormat="1" x14ac:dyDescent="0.25">
      <c r="A134" s="24"/>
      <c r="B134" s="46"/>
      <c r="C134" s="53"/>
      <c r="D134" s="53"/>
      <c r="E134" s="53"/>
      <c r="H134" s="52"/>
      <c r="I134" s="52"/>
      <c r="J134" s="52"/>
      <c r="K134" s="52"/>
      <c r="L134" s="52"/>
      <c r="M134" s="52"/>
      <c r="N134" s="52"/>
      <c r="O134" s="52"/>
      <c r="P134" s="52"/>
      <c r="Q134" s="52"/>
      <c r="R134" s="52"/>
      <c r="S134" s="52"/>
      <c r="T134" s="52"/>
      <c r="U134" s="52"/>
      <c r="V134" s="52"/>
      <c r="W134" s="52"/>
      <c r="X134" s="52"/>
      <c r="Y134" s="52"/>
      <c r="Z134" s="52"/>
    </row>
    <row r="135" spans="1:27" s="22" customFormat="1" x14ac:dyDescent="0.25">
      <c r="B135" s="46"/>
      <c r="C135" s="53"/>
      <c r="D135" s="53"/>
      <c r="E135" s="53"/>
      <c r="H135" s="52"/>
      <c r="I135" s="52"/>
      <c r="J135" s="52"/>
      <c r="K135" s="52"/>
      <c r="L135" s="52"/>
      <c r="M135" s="52"/>
      <c r="N135" s="52"/>
      <c r="O135" s="52"/>
      <c r="P135" s="52"/>
      <c r="Q135" s="52"/>
      <c r="R135" s="52"/>
      <c r="S135" s="52"/>
      <c r="T135" s="52"/>
      <c r="U135" s="52"/>
      <c r="V135" s="52"/>
      <c r="W135" s="52"/>
      <c r="X135" s="52"/>
      <c r="Y135" s="52"/>
      <c r="Z135" s="52"/>
    </row>
    <row r="136" spans="1:27" s="22" customFormat="1" x14ac:dyDescent="0.25">
      <c r="B136" s="46"/>
    </row>
    <row r="137" spans="1:27" s="22" customFormat="1" x14ac:dyDescent="0.25">
      <c r="B137" s="46"/>
    </row>
    <row r="138" spans="1:27" s="22" customFormat="1" x14ac:dyDescent="0.25">
      <c r="B138" s="46"/>
    </row>
    <row r="139" spans="1:27" s="22" customFormat="1" x14ac:dyDescent="0.25">
      <c r="A139" s="60"/>
      <c r="B139" s="46"/>
      <c r="C139" s="60"/>
      <c r="D139" s="60"/>
      <c r="E139" s="60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  <c r="V139" s="55"/>
      <c r="W139" s="55"/>
      <c r="X139" s="55"/>
      <c r="Y139" s="55"/>
      <c r="Z139" s="55"/>
    </row>
    <row r="140" spans="1:27" x14ac:dyDescent="0.25">
      <c r="A140" s="10"/>
      <c r="C140" s="10"/>
      <c r="D140" s="10"/>
      <c r="E140" s="10"/>
      <c r="F140" s="47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  <c r="AA140" s="49"/>
    </row>
    <row r="141" spans="1:27" x14ac:dyDescent="0.25">
      <c r="A141" s="10"/>
      <c r="C141" s="10"/>
      <c r="D141" s="10"/>
      <c r="E141" s="10"/>
      <c r="F141" s="47"/>
      <c r="G141" s="49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49"/>
      <c r="X141" s="49"/>
      <c r="Y141" s="49"/>
      <c r="Z141" s="49"/>
      <c r="AA141" s="49"/>
    </row>
    <row r="142" spans="1:27" x14ac:dyDescent="0.25">
      <c r="A142" s="10"/>
      <c r="C142" s="10"/>
      <c r="D142" s="10"/>
      <c r="E142" s="10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  <c r="AA142" s="49"/>
    </row>
    <row r="143" spans="1:27" x14ac:dyDescent="0.25">
      <c r="G143" s="47"/>
      <c r="H143" s="47"/>
      <c r="I143" s="47"/>
      <c r="J143" s="47"/>
      <c r="K143" s="47"/>
      <c r="L143" s="47"/>
      <c r="M143" s="47"/>
      <c r="AA143" s="49"/>
    </row>
    <row r="144" spans="1:27" s="22" customFormat="1" x14ac:dyDescent="0.25">
      <c r="A144" s="72"/>
      <c r="B144" s="46"/>
      <c r="C144" s="21"/>
      <c r="D144" s="21"/>
      <c r="E144" s="21"/>
      <c r="F144" s="21"/>
      <c r="G144" s="47"/>
      <c r="H144" s="47"/>
      <c r="I144" s="50"/>
      <c r="J144" s="47"/>
      <c r="K144" s="47"/>
      <c r="L144" s="47"/>
      <c r="M144" s="47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spans="1:27" s="22" customFormat="1" x14ac:dyDescent="0.25">
      <c r="B145" s="46"/>
      <c r="D145" s="51"/>
      <c r="E145" s="51"/>
      <c r="F145" s="52"/>
      <c r="G145" s="52"/>
      <c r="H145" s="52"/>
      <c r="I145" s="52"/>
      <c r="J145" s="52"/>
      <c r="K145" s="52"/>
      <c r="L145" s="52"/>
      <c r="M145" s="52"/>
      <c r="N145" s="52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52"/>
      <c r="Z145" s="52"/>
      <c r="AA145" s="52"/>
    </row>
    <row r="146" spans="1:27" s="22" customFormat="1" x14ac:dyDescent="0.25">
      <c r="B146" s="46"/>
      <c r="F146" s="52"/>
      <c r="G146" s="52"/>
      <c r="H146" s="52"/>
      <c r="I146" s="52"/>
      <c r="J146" s="52"/>
      <c r="K146" s="52"/>
      <c r="L146" s="52"/>
      <c r="M146" s="52"/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52"/>
      <c r="AA146" s="52"/>
    </row>
    <row r="147" spans="1:27" s="22" customFormat="1" x14ac:dyDescent="0.25">
      <c r="B147" s="46"/>
      <c r="C147" s="53"/>
      <c r="D147" s="53"/>
      <c r="E147" s="53"/>
      <c r="F147" s="52"/>
      <c r="G147" s="52"/>
      <c r="H147" s="52"/>
      <c r="I147" s="52"/>
      <c r="J147" s="52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  <c r="AA147" s="52"/>
    </row>
    <row r="148" spans="1:27" s="22" customFormat="1" x14ac:dyDescent="0.25">
      <c r="B148" s="46"/>
      <c r="C148" s="53"/>
      <c r="D148" s="51"/>
      <c r="E148" s="51"/>
      <c r="F148" s="54"/>
      <c r="G148" s="54"/>
      <c r="H148" s="52"/>
      <c r="I148" s="52"/>
      <c r="J148" s="52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  <c r="AA148" s="54"/>
    </row>
    <row r="149" spans="1:27" s="22" customFormat="1" x14ac:dyDescent="0.25">
      <c r="B149" s="46"/>
      <c r="D149" s="53"/>
      <c r="E149" s="53"/>
      <c r="F149" s="52"/>
      <c r="G149" s="52"/>
      <c r="H149" s="52"/>
      <c r="I149" s="52"/>
      <c r="J149" s="52"/>
      <c r="K149" s="52"/>
      <c r="L149" s="52"/>
      <c r="M149" s="52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  <c r="AA149" s="52"/>
    </row>
    <row r="150" spans="1:27" s="22" customFormat="1" x14ac:dyDescent="0.25">
      <c r="B150" s="46"/>
      <c r="C150" s="53"/>
      <c r="D150" s="53"/>
      <c r="E150" s="53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  <c r="AA150" s="55"/>
    </row>
    <row r="151" spans="1:27" s="22" customFormat="1" x14ac:dyDescent="0.25">
      <c r="B151" s="46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55"/>
      <c r="X151" s="55"/>
      <c r="Y151" s="55"/>
      <c r="Z151" s="55"/>
    </row>
    <row r="152" spans="1:27" s="22" customFormat="1" x14ac:dyDescent="0.25">
      <c r="A152" s="72"/>
      <c r="B152" s="46"/>
      <c r="F152" s="55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  <c r="V152" s="55"/>
      <c r="W152" s="55"/>
      <c r="X152" s="55"/>
      <c r="Y152" s="55"/>
      <c r="Z152" s="55"/>
    </row>
    <row r="153" spans="1:27" s="22" customFormat="1" x14ac:dyDescent="0.25">
      <c r="B153" s="46"/>
      <c r="D153" s="56"/>
      <c r="E153" s="56"/>
      <c r="F153" s="55"/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  <c r="X153" s="57"/>
      <c r="Y153" s="57"/>
      <c r="Z153" s="57"/>
      <c r="AA153" s="57"/>
    </row>
    <row r="154" spans="1:27" s="22" customFormat="1" x14ac:dyDescent="0.25">
      <c r="B154" s="46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  <c r="R154" s="57"/>
      <c r="S154" s="57"/>
      <c r="T154" s="57"/>
      <c r="U154" s="57"/>
      <c r="V154" s="57"/>
      <c r="W154" s="57"/>
      <c r="X154" s="57"/>
      <c r="Y154" s="57"/>
      <c r="Z154" s="57"/>
      <c r="AA154" s="57"/>
    </row>
    <row r="155" spans="1:27" s="22" customFormat="1" x14ac:dyDescent="0.25">
      <c r="B155" s="46"/>
      <c r="C155" s="53"/>
      <c r="D155" s="53"/>
      <c r="E155" s="53"/>
      <c r="F155" s="52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  <c r="AA155" s="52"/>
    </row>
    <row r="156" spans="1:27" s="22" customFormat="1" x14ac:dyDescent="0.25">
      <c r="B156" s="46"/>
      <c r="C156" s="53"/>
      <c r="D156" s="51"/>
      <c r="E156" s="51"/>
      <c r="F156" s="52"/>
      <c r="G156" s="52"/>
      <c r="H156" s="52"/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52"/>
      <c r="T156" s="52"/>
      <c r="U156" s="52"/>
      <c r="V156" s="52"/>
      <c r="W156" s="52"/>
      <c r="X156" s="52"/>
      <c r="Y156" s="52"/>
      <c r="Z156" s="52"/>
      <c r="AA156" s="52"/>
    </row>
    <row r="157" spans="1:27" s="22" customFormat="1" x14ac:dyDescent="0.25">
      <c r="B157" s="46"/>
      <c r="D157" s="53"/>
      <c r="E157" s="53"/>
      <c r="F157" s="52"/>
      <c r="G157" s="52"/>
      <c r="H157" s="52"/>
      <c r="I157" s="52"/>
      <c r="J157" s="52"/>
      <c r="K157" s="52"/>
      <c r="L157" s="52"/>
      <c r="M157" s="52"/>
      <c r="N157" s="52"/>
      <c r="O157" s="52"/>
      <c r="P157" s="52"/>
      <c r="Q157" s="52"/>
      <c r="R157" s="52"/>
      <c r="S157" s="52"/>
      <c r="T157" s="52"/>
      <c r="U157" s="52"/>
      <c r="V157" s="52"/>
      <c r="W157" s="52"/>
      <c r="X157" s="52"/>
      <c r="Y157" s="52"/>
      <c r="Z157" s="52"/>
      <c r="AA157" s="52"/>
    </row>
    <row r="158" spans="1:27" s="22" customFormat="1" x14ac:dyDescent="0.25">
      <c r="B158" s="46"/>
      <c r="C158" s="53"/>
      <c r="D158" s="53"/>
      <c r="E158" s="53"/>
      <c r="F158" s="55"/>
      <c r="G158" s="55"/>
      <c r="H158" s="55"/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5"/>
      <c r="V158" s="55"/>
      <c r="W158" s="55"/>
      <c r="X158" s="55"/>
      <c r="Y158" s="55"/>
      <c r="Z158" s="55"/>
      <c r="AA158" s="55"/>
    </row>
    <row r="159" spans="1:27" x14ac:dyDescent="0.25">
      <c r="A159" s="7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</row>
    <row r="160" spans="1:27" x14ac:dyDescent="0.25">
      <c r="A160" s="22"/>
      <c r="C160" s="53"/>
      <c r="D160" s="53"/>
      <c r="E160" s="53"/>
      <c r="F160" s="22"/>
      <c r="G160" s="22"/>
      <c r="H160" s="52"/>
      <c r="I160" s="52"/>
      <c r="J160" s="52"/>
      <c r="K160" s="52"/>
      <c r="L160" s="52"/>
      <c r="M160" s="52"/>
      <c r="N160" s="52"/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52"/>
      <c r="Z160" s="52"/>
    </row>
    <row r="161" spans="1:26" x14ac:dyDescent="0.25">
      <c r="A161" s="22"/>
      <c r="C161" s="22"/>
      <c r="D161" s="22"/>
      <c r="E161" s="22"/>
      <c r="F161" s="22"/>
      <c r="G161" s="2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  <c r="Z161" s="52"/>
    </row>
    <row r="162" spans="1:26" x14ac:dyDescent="0.25">
      <c r="A162" s="24"/>
      <c r="C162" s="22"/>
      <c r="D162" s="22"/>
      <c r="E162" s="22"/>
      <c r="F162" s="22"/>
      <c r="G162" s="2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  <c r="Z162" s="52"/>
    </row>
    <row r="163" spans="1:26" x14ac:dyDescent="0.25">
      <c r="A163" s="22"/>
      <c r="C163" s="53"/>
      <c r="D163" s="53"/>
      <c r="E163" s="53"/>
      <c r="F163" s="22"/>
      <c r="G163" s="22"/>
      <c r="H163" s="52"/>
      <c r="I163" s="52"/>
      <c r="J163" s="52"/>
      <c r="K163" s="52"/>
      <c r="L163" s="52"/>
      <c r="M163" s="52"/>
      <c r="N163" s="52"/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</row>
    <row r="164" spans="1:26" x14ac:dyDescent="0.25">
      <c r="A164" s="22"/>
      <c r="C164" s="22"/>
      <c r="D164" s="22"/>
      <c r="E164" s="22"/>
      <c r="F164" s="22"/>
      <c r="G164" s="22"/>
      <c r="H164" s="52"/>
      <c r="I164" s="52"/>
      <c r="J164" s="52"/>
      <c r="K164" s="52"/>
      <c r="L164" s="52"/>
      <c r="M164" s="52"/>
      <c r="N164" s="52"/>
      <c r="O164" s="52"/>
      <c r="P164" s="52"/>
      <c r="Q164" s="52"/>
      <c r="R164" s="52"/>
      <c r="S164" s="52"/>
      <c r="T164" s="52"/>
      <c r="U164" s="52"/>
      <c r="V164" s="52"/>
      <c r="W164" s="52"/>
      <c r="X164" s="52"/>
      <c r="Y164" s="52"/>
      <c r="Z164" s="52"/>
    </row>
    <row r="165" spans="1:26" x14ac:dyDescent="0.25">
      <c r="A165" s="24"/>
      <c r="C165" s="22"/>
      <c r="D165" s="22"/>
      <c r="E165" s="22"/>
      <c r="F165" s="22"/>
      <c r="G165" s="22"/>
      <c r="H165" s="52"/>
      <c r="I165" s="52"/>
      <c r="J165" s="52"/>
      <c r="K165" s="52"/>
      <c r="L165" s="52"/>
      <c r="M165" s="52"/>
      <c r="N165" s="52"/>
      <c r="O165" s="52"/>
      <c r="P165" s="52"/>
      <c r="Q165" s="52"/>
      <c r="R165" s="52"/>
      <c r="S165" s="52"/>
      <c r="T165" s="52"/>
      <c r="U165" s="52"/>
      <c r="V165" s="52"/>
      <c r="W165" s="52"/>
      <c r="X165" s="52"/>
      <c r="Y165" s="52"/>
      <c r="Z165" s="52"/>
    </row>
    <row r="166" spans="1:26" x14ac:dyDescent="0.25">
      <c r="A166" s="22"/>
      <c r="C166" s="53"/>
      <c r="D166" s="53"/>
      <c r="E166" s="53"/>
      <c r="F166" s="22"/>
      <c r="G166" s="22"/>
      <c r="H166" s="52"/>
      <c r="I166" s="52"/>
      <c r="J166" s="52"/>
      <c r="K166" s="52"/>
      <c r="L166" s="52"/>
      <c r="M166" s="52"/>
      <c r="N166" s="52"/>
      <c r="O166" s="52"/>
      <c r="P166" s="52"/>
      <c r="Q166" s="52"/>
      <c r="R166" s="52"/>
      <c r="S166" s="52"/>
      <c r="T166" s="52"/>
      <c r="U166" s="52"/>
      <c r="V166" s="52"/>
      <c r="W166" s="52"/>
      <c r="X166" s="52"/>
      <c r="Y166" s="52"/>
      <c r="Z166" s="52"/>
    </row>
    <row r="167" spans="1:26" x14ac:dyDescent="0.25">
      <c r="A167" s="22"/>
      <c r="C167" s="53"/>
      <c r="D167" s="53"/>
      <c r="E167" s="53"/>
      <c r="F167" s="22"/>
      <c r="G167" s="22"/>
      <c r="H167" s="52"/>
      <c r="I167" s="52"/>
      <c r="J167" s="52"/>
      <c r="K167" s="52"/>
      <c r="L167" s="52"/>
      <c r="M167" s="52"/>
      <c r="N167" s="52"/>
      <c r="O167" s="52"/>
      <c r="P167" s="52"/>
      <c r="Q167" s="52"/>
      <c r="R167" s="52"/>
      <c r="S167" s="52"/>
      <c r="T167" s="52"/>
      <c r="U167" s="52"/>
      <c r="V167" s="52"/>
      <c r="W167" s="52"/>
      <c r="X167" s="52"/>
      <c r="Y167" s="52"/>
      <c r="Z167" s="52"/>
    </row>
    <row r="168" spans="1:26" x14ac:dyDescent="0.25">
      <c r="A168" s="22"/>
      <c r="D168" s="58"/>
      <c r="E168" s="58"/>
      <c r="F168" s="22"/>
      <c r="G168" s="22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52"/>
      <c r="U168" s="52"/>
      <c r="V168" s="52"/>
      <c r="W168" s="52"/>
      <c r="X168" s="52"/>
      <c r="Y168" s="52"/>
      <c r="Z168" s="52"/>
    </row>
    <row r="169" spans="1:26" x14ac:dyDescent="0.25">
      <c r="A169" s="22"/>
      <c r="C169" s="53"/>
      <c r="D169" s="53"/>
      <c r="E169" s="53"/>
      <c r="F169" s="22"/>
      <c r="G169" s="22"/>
      <c r="H169" s="52"/>
      <c r="I169" s="52"/>
      <c r="J169" s="52"/>
      <c r="K169" s="52"/>
      <c r="L169" s="52"/>
      <c r="M169" s="52"/>
      <c r="N169" s="52"/>
      <c r="O169" s="52"/>
      <c r="P169" s="52"/>
      <c r="Q169" s="52"/>
      <c r="R169" s="52"/>
      <c r="S169" s="52"/>
      <c r="T169" s="52"/>
      <c r="U169" s="52"/>
      <c r="V169" s="52"/>
      <c r="W169" s="52"/>
      <c r="X169" s="52"/>
      <c r="Y169" s="52"/>
      <c r="Z169" s="52"/>
    </row>
    <row r="170" spans="1:26" x14ac:dyDescent="0.25">
      <c r="A170" s="24"/>
      <c r="C170" s="53"/>
      <c r="D170" s="53"/>
      <c r="E170" s="53"/>
      <c r="F170" s="22"/>
      <c r="G170" s="22"/>
      <c r="H170" s="52"/>
      <c r="I170" s="52"/>
      <c r="J170" s="52"/>
      <c r="K170" s="52"/>
      <c r="L170" s="52"/>
      <c r="M170" s="52"/>
      <c r="N170" s="52"/>
      <c r="O170" s="52"/>
      <c r="P170" s="52"/>
      <c r="Q170" s="52"/>
      <c r="R170" s="52"/>
      <c r="S170" s="52"/>
      <c r="T170" s="52"/>
      <c r="U170" s="52"/>
      <c r="V170" s="52"/>
      <c r="W170" s="52"/>
      <c r="X170" s="52"/>
      <c r="Y170" s="52"/>
      <c r="Z170" s="52"/>
    </row>
    <row r="171" spans="1:26" x14ac:dyDescent="0.25">
      <c r="A171" s="22"/>
      <c r="C171" s="53"/>
      <c r="D171" s="53"/>
      <c r="E171" s="53"/>
      <c r="F171" s="22"/>
      <c r="G171" s="22"/>
      <c r="H171" s="52"/>
      <c r="I171" s="52"/>
      <c r="J171" s="52"/>
      <c r="K171" s="52"/>
      <c r="L171" s="52"/>
      <c r="M171" s="52"/>
      <c r="N171" s="52"/>
      <c r="O171" s="52"/>
      <c r="P171" s="52"/>
      <c r="Q171" s="52"/>
      <c r="R171" s="52"/>
      <c r="S171" s="52"/>
      <c r="T171" s="52"/>
      <c r="U171" s="52"/>
      <c r="V171" s="52"/>
      <c r="W171" s="52"/>
      <c r="X171" s="52"/>
      <c r="Y171" s="52"/>
      <c r="Z171" s="52"/>
    </row>
    <row r="172" spans="1:26" x14ac:dyDescent="0.25">
      <c r="A172" s="22"/>
      <c r="C172" s="53"/>
      <c r="D172" s="53"/>
      <c r="E172" s="53"/>
      <c r="F172" s="22"/>
      <c r="G172" s="22"/>
      <c r="H172" s="52"/>
      <c r="I172" s="52"/>
      <c r="J172" s="52"/>
      <c r="K172" s="52"/>
      <c r="L172" s="52"/>
      <c r="M172" s="52"/>
      <c r="N172" s="52"/>
      <c r="O172" s="52"/>
      <c r="P172" s="52"/>
      <c r="Q172" s="52"/>
      <c r="R172" s="52"/>
      <c r="S172" s="52"/>
      <c r="T172" s="52"/>
      <c r="U172" s="52"/>
      <c r="V172" s="52"/>
      <c r="W172" s="52"/>
      <c r="X172" s="52"/>
      <c r="Y172" s="52"/>
      <c r="Z172" s="52"/>
    </row>
    <row r="173" spans="1:26" x14ac:dyDescent="0.25">
      <c r="A173" s="24"/>
      <c r="C173" s="53"/>
      <c r="D173" s="53"/>
      <c r="E173" s="53"/>
      <c r="F173" s="22"/>
      <c r="G173" s="22"/>
      <c r="H173" s="52"/>
      <c r="I173" s="52"/>
      <c r="J173" s="52"/>
      <c r="K173" s="52"/>
      <c r="L173" s="52"/>
      <c r="M173" s="52"/>
      <c r="N173" s="52"/>
      <c r="O173" s="52"/>
      <c r="P173" s="52"/>
      <c r="Q173" s="52"/>
      <c r="R173" s="52"/>
      <c r="S173" s="52"/>
      <c r="T173" s="52"/>
      <c r="U173" s="52"/>
      <c r="V173" s="52"/>
      <c r="W173" s="52"/>
      <c r="X173" s="52"/>
      <c r="Y173" s="52"/>
      <c r="Z173" s="52"/>
    </row>
    <row r="174" spans="1:26" x14ac:dyDescent="0.25">
      <c r="A174" s="22"/>
      <c r="C174" s="53"/>
      <c r="D174" s="53"/>
      <c r="E174" s="53"/>
      <c r="F174" s="22"/>
      <c r="G174" s="22"/>
      <c r="H174" s="52"/>
      <c r="I174" s="52"/>
      <c r="J174" s="52"/>
      <c r="K174" s="52"/>
      <c r="L174" s="52"/>
      <c r="M174" s="52"/>
      <c r="N174" s="52"/>
      <c r="O174" s="52"/>
      <c r="P174" s="52"/>
      <c r="Q174" s="52"/>
      <c r="R174" s="52"/>
      <c r="S174" s="52"/>
      <c r="T174" s="52"/>
      <c r="U174" s="52"/>
      <c r="V174" s="52"/>
      <c r="W174" s="52"/>
      <c r="X174" s="52"/>
      <c r="Y174" s="52"/>
      <c r="Z174" s="52"/>
    </row>
  </sheetData>
  <dataValidations count="1">
    <dataValidation type="list" allowBlank="1" showInputMessage="1" showErrorMessage="1" sqref="A4">
      <formula1>scenarios</formula1>
    </dataValidation>
  </dataValidations>
  <pageMargins left="0.75" right="0.75" top="1" bottom="1" header="0.5" footer="0.5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P81"/>
  <sheetViews>
    <sheetView topLeftCell="A4" zoomScale="85" zoomScaleNormal="85" workbookViewId="0">
      <selection activeCell="A18" sqref="A18"/>
    </sheetView>
  </sheetViews>
  <sheetFormatPr defaultColWidth="9.140625" defaultRowHeight="14.25" x14ac:dyDescent="0.2"/>
  <cols>
    <col min="1" max="1" width="106.5703125" style="25" customWidth="1"/>
    <col min="2" max="4" width="12" style="25" customWidth="1"/>
    <col min="5" max="5" width="11.5703125" style="25" customWidth="1"/>
    <col min="6" max="6" width="13.28515625" style="25" customWidth="1"/>
    <col min="7" max="8" width="12.7109375" style="25" customWidth="1"/>
    <col min="9" max="9" width="5.28515625" style="25" customWidth="1"/>
    <col min="10" max="10" width="9.140625" style="38" customWidth="1"/>
    <col min="11" max="11" width="36.5703125" style="25" customWidth="1"/>
    <col min="12" max="12" width="9.140625" style="25" customWidth="1"/>
    <col min="13" max="16384" width="9.140625" style="25"/>
  </cols>
  <sheetData>
    <row r="1" spans="1:11" s="38" customFormat="1" ht="15.75" customHeight="1" x14ac:dyDescent="0.2">
      <c r="A1" s="25" t="s">
        <v>81</v>
      </c>
      <c r="B1" s="25"/>
      <c r="C1" s="25"/>
      <c r="D1" s="25"/>
      <c r="E1" s="25"/>
      <c r="F1" s="25"/>
      <c r="G1" s="25"/>
      <c r="H1" s="25"/>
      <c r="I1" s="25"/>
    </row>
    <row r="2" spans="1:11" ht="15.75" customHeight="1" thickBot="1" x14ac:dyDescent="0.25">
      <c r="A2" s="25" t="s">
        <v>102</v>
      </c>
    </row>
    <row r="3" spans="1:11" ht="15.75" customHeight="1" thickBot="1" x14ac:dyDescent="0.25">
      <c r="A3" s="25" t="s">
        <v>103</v>
      </c>
      <c r="E3" s="121" t="s">
        <v>155</v>
      </c>
      <c r="F3" s="122"/>
      <c r="G3" s="122"/>
      <c r="H3" s="122"/>
      <c r="I3" s="122"/>
      <c r="J3" s="122"/>
      <c r="K3" s="123"/>
    </row>
    <row r="4" spans="1:11" ht="15.75" customHeight="1" thickBot="1" x14ac:dyDescent="0.25"/>
    <row r="5" spans="1:11" ht="15.75" customHeight="1" x14ac:dyDescent="0.25">
      <c r="A5" s="62" t="s">
        <v>50</v>
      </c>
      <c r="B5" s="62"/>
      <c r="C5" s="62" t="s">
        <v>168</v>
      </c>
      <c r="D5" s="62"/>
      <c r="E5" s="88"/>
      <c r="F5" s="89" t="s">
        <v>70</v>
      </c>
      <c r="G5" s="159"/>
      <c r="H5" s="90"/>
      <c r="I5" s="62"/>
      <c r="J5" s="63"/>
    </row>
    <row r="6" spans="1:11" ht="15.75" customHeight="1" x14ac:dyDescent="0.25">
      <c r="A6" s="40"/>
      <c r="B6" s="25" t="s">
        <v>72</v>
      </c>
      <c r="C6" s="40" t="str">
        <f>'Timing calculations'!$A$4</f>
        <v>Break Even</v>
      </c>
      <c r="E6" s="91" t="s">
        <v>38</v>
      </c>
      <c r="F6" s="92" t="s">
        <v>8</v>
      </c>
      <c r="G6" s="92" t="s">
        <v>39</v>
      </c>
      <c r="H6" s="93" t="s">
        <v>191</v>
      </c>
      <c r="I6" s="33"/>
      <c r="J6" s="63" t="s">
        <v>104</v>
      </c>
    </row>
    <row r="7" spans="1:11" ht="15.75" customHeight="1" x14ac:dyDescent="0.25">
      <c r="A7" s="12" t="s">
        <v>124</v>
      </c>
      <c r="E7" s="94"/>
      <c r="F7" s="85"/>
      <c r="G7" s="85"/>
      <c r="H7" s="95"/>
      <c r="I7" s="33"/>
      <c r="J7" s="63"/>
    </row>
    <row r="8" spans="1:11" ht="15.75" customHeight="1" x14ac:dyDescent="0.25">
      <c r="A8" s="24" t="s">
        <v>84</v>
      </c>
      <c r="E8" s="94"/>
      <c r="F8" s="85"/>
      <c r="G8" s="85"/>
      <c r="H8" s="95"/>
      <c r="I8" s="33"/>
      <c r="J8" s="63"/>
    </row>
    <row r="9" spans="1:11" ht="15.75" customHeight="1" x14ac:dyDescent="0.25">
      <c r="C9" s="126"/>
      <c r="E9" s="94"/>
      <c r="F9" s="85"/>
      <c r="G9" s="85"/>
      <c r="H9" s="95"/>
      <c r="I9" s="33"/>
      <c r="J9" s="63"/>
    </row>
    <row r="10" spans="1:11" ht="15.75" customHeight="1" x14ac:dyDescent="0.25">
      <c r="A10" s="25" t="s">
        <v>77</v>
      </c>
      <c r="B10" s="25" t="s">
        <v>75</v>
      </c>
      <c r="C10" s="126">
        <f ca="1">'Timing calculations'!$C$35</f>
        <v>9.3402218949957039</v>
      </c>
      <c r="E10" s="96">
        <v>27.931134406265219</v>
      </c>
      <c r="F10" s="82">
        <v>47.776071074146827</v>
      </c>
      <c r="G10" s="82">
        <v>84.747976135944981</v>
      </c>
      <c r="H10" s="97">
        <v>9.3402218949957039</v>
      </c>
      <c r="I10" s="33"/>
      <c r="J10" s="63"/>
    </row>
    <row r="11" spans="1:11" ht="15.75" customHeight="1" x14ac:dyDescent="0.25">
      <c r="A11" s="25" t="s">
        <v>157</v>
      </c>
      <c r="B11" s="25" t="s">
        <v>75</v>
      </c>
      <c r="C11" s="70">
        <f ca="1">'Timing calculations'!C38</f>
        <v>-1.7368786116718378</v>
      </c>
      <c r="E11" s="98">
        <v>-4.8412879810206908</v>
      </c>
      <c r="F11" s="83">
        <v>-8.884289573768994</v>
      </c>
      <c r="G11" s="83">
        <v>-16.509054896890216</v>
      </c>
      <c r="H11" s="99">
        <v>-1.7368786116718378</v>
      </c>
      <c r="I11" s="33"/>
      <c r="J11" s="36"/>
    </row>
    <row r="12" spans="1:11" ht="15.75" customHeight="1" x14ac:dyDescent="0.25">
      <c r="C12" s="126"/>
      <c r="E12" s="98"/>
      <c r="F12" s="83"/>
      <c r="G12" s="83"/>
      <c r="H12" s="99"/>
      <c r="I12" s="33"/>
      <c r="J12" s="36"/>
    </row>
    <row r="13" spans="1:11" ht="15.75" customHeight="1" x14ac:dyDescent="0.25">
      <c r="A13" s="25" t="s">
        <v>45</v>
      </c>
      <c r="B13" s="25" t="s">
        <v>75</v>
      </c>
      <c r="C13" s="126">
        <f ca="1">C10+C11</f>
        <v>7.6033432833238663</v>
      </c>
      <c r="E13" s="98">
        <v>23.089846425244527</v>
      </c>
      <c r="F13" s="83">
        <v>38.891781500377832</v>
      </c>
      <c r="G13" s="83">
        <v>68.238921239054761</v>
      </c>
      <c r="H13" s="99">
        <v>7.6033432833238663</v>
      </c>
      <c r="I13" s="33"/>
      <c r="J13" s="36"/>
    </row>
    <row r="14" spans="1:11" ht="15.75" customHeight="1" x14ac:dyDescent="0.25">
      <c r="C14" s="126"/>
      <c r="E14" s="94"/>
      <c r="F14" s="85"/>
      <c r="G14" s="85"/>
      <c r="H14" s="95"/>
      <c r="I14" s="33"/>
      <c r="J14" s="36"/>
    </row>
    <row r="15" spans="1:11" ht="15.75" customHeight="1" x14ac:dyDescent="0.25">
      <c r="A15" s="24" t="s">
        <v>63</v>
      </c>
      <c r="E15" s="96"/>
      <c r="F15" s="82"/>
      <c r="G15" s="82"/>
      <c r="H15" s="97"/>
      <c r="I15" s="33"/>
      <c r="J15" s="63"/>
    </row>
    <row r="16" spans="1:11" ht="15.75" customHeight="1" x14ac:dyDescent="0.25">
      <c r="A16" s="25" t="s">
        <v>27</v>
      </c>
      <c r="B16" s="25" t="s">
        <v>0</v>
      </c>
      <c r="C16" s="64">
        <f ca="1">'Timing calculations'!$D$32</f>
        <v>519.35288582999385</v>
      </c>
      <c r="E16" s="100">
        <v>450</v>
      </c>
      <c r="F16" s="101">
        <v>519.35288582999385</v>
      </c>
      <c r="G16" s="101">
        <v>623.86611970171896</v>
      </c>
      <c r="H16" s="102">
        <v>519.35288582999385</v>
      </c>
      <c r="I16" s="33"/>
      <c r="J16" s="65" t="s">
        <v>33</v>
      </c>
    </row>
    <row r="17" spans="1:11" ht="15.75" customHeight="1" x14ac:dyDescent="0.25">
      <c r="A17" s="25" t="s">
        <v>85</v>
      </c>
      <c r="B17" s="25" t="s">
        <v>0</v>
      </c>
      <c r="C17" s="158">
        <f ca="1">'Timing calculations'!$D$33</f>
        <v>10.153348917976381</v>
      </c>
      <c r="E17" s="96">
        <v>34.199999999999996</v>
      </c>
      <c r="F17" s="82">
        <v>51.935288582999391</v>
      </c>
      <c r="G17" s="82">
        <v>78.607131082416586</v>
      </c>
      <c r="H17" s="97">
        <v>10.153348917976381</v>
      </c>
      <c r="I17" s="33"/>
      <c r="J17" s="63"/>
    </row>
    <row r="18" spans="1:11" ht="15.75" customHeight="1" x14ac:dyDescent="0.25">
      <c r="A18" s="25" t="s">
        <v>60</v>
      </c>
      <c r="C18" s="66">
        <f ca="1">$C$16/'Timing calculations'!$D$18</f>
        <v>6.5217391304347838E-2</v>
      </c>
      <c r="E18" s="103">
        <v>6.5217391304347824E-2</v>
      </c>
      <c r="F18" s="104">
        <v>6.5217391304347838E-2</v>
      </c>
      <c r="G18" s="104">
        <v>6.5217391304347824E-2</v>
      </c>
      <c r="H18" s="105">
        <v>6.5217391304347838E-2</v>
      </c>
      <c r="I18" s="33"/>
      <c r="J18" s="63"/>
    </row>
    <row r="19" spans="1:11" ht="15.75" customHeight="1" x14ac:dyDescent="0.25">
      <c r="A19" s="25" t="s">
        <v>61</v>
      </c>
      <c r="C19" s="66">
        <f ca="1">$C$17/'Timing calculations'!$D$18</f>
        <v>1.2750000000000003E-3</v>
      </c>
      <c r="E19" s="106">
        <v>4.9565217391304341E-3</v>
      </c>
      <c r="F19" s="84">
        <v>6.521739130434784E-3</v>
      </c>
      <c r="G19" s="84">
        <v>8.2173913043478257E-3</v>
      </c>
      <c r="H19" s="107">
        <v>1.2750000000000003E-3</v>
      </c>
      <c r="I19" s="33"/>
      <c r="J19" s="61" t="s">
        <v>52</v>
      </c>
    </row>
    <row r="20" spans="1:11" ht="15.75" customHeight="1" x14ac:dyDescent="0.25">
      <c r="A20" s="25" t="s">
        <v>62</v>
      </c>
      <c r="C20" s="66">
        <f ca="1">$C$17/('Timing calculations'!$D$18-'Timing calculations'!$D$19)</f>
        <v>2.7840189873417727E-3</v>
      </c>
      <c r="E20" s="106">
        <v>1.0822784810126581E-2</v>
      </c>
      <c r="F20" s="84">
        <v>1.4240506329113929E-2</v>
      </c>
      <c r="G20" s="84">
        <v>1.7943037974683544E-2</v>
      </c>
      <c r="H20" s="107">
        <v>2.7840189873417727E-3</v>
      </c>
      <c r="I20" s="33"/>
      <c r="J20" s="63"/>
    </row>
    <row r="21" spans="1:11" ht="15.75" customHeight="1" x14ac:dyDescent="0.25">
      <c r="A21" s="25" t="s">
        <v>78</v>
      </c>
      <c r="C21" s="66">
        <f ca="1">'Timing calculations'!$D$30/8760</f>
        <v>1.0273972602739725E-2</v>
      </c>
      <c r="E21" s="106">
        <v>1.0273972602739725E-2</v>
      </c>
      <c r="F21" s="84">
        <v>1.0273972602739725E-2</v>
      </c>
      <c r="G21" s="84">
        <v>1.0273972602739725E-2</v>
      </c>
      <c r="H21" s="107">
        <v>1.0273972602739725E-2</v>
      </c>
      <c r="I21" s="33"/>
      <c r="J21" s="36"/>
    </row>
    <row r="22" spans="1:11" ht="15.75" customHeight="1" x14ac:dyDescent="0.25">
      <c r="A22" s="25" t="s">
        <v>79</v>
      </c>
      <c r="B22" s="25" t="s">
        <v>74</v>
      </c>
      <c r="C22" s="70">
        <f ca="1">'Timing calculations'!$D$38</f>
        <v>-0.22845035065446853</v>
      </c>
      <c r="E22" s="108">
        <v>-0.76950000000000007</v>
      </c>
      <c r="F22" s="109">
        <v>-1.1685439931174861</v>
      </c>
      <c r="G22" s="109">
        <v>-1.7686604493543732</v>
      </c>
      <c r="H22" s="110">
        <v>-0.22845035065446853</v>
      </c>
      <c r="I22" s="33"/>
      <c r="J22" s="36"/>
    </row>
    <row r="23" spans="1:11" ht="15.75" customHeight="1" x14ac:dyDescent="0.25">
      <c r="E23" s="106"/>
      <c r="F23" s="84"/>
      <c r="G23" s="84"/>
      <c r="H23" s="107"/>
      <c r="I23" s="33"/>
      <c r="J23" s="63"/>
    </row>
    <row r="24" spans="1:11" ht="15.75" customHeight="1" x14ac:dyDescent="0.25">
      <c r="A24" s="12" t="s">
        <v>125</v>
      </c>
      <c r="E24" s="94"/>
      <c r="F24" s="85"/>
      <c r="G24" s="85"/>
      <c r="H24" s="95"/>
      <c r="I24" s="33"/>
      <c r="J24" s="36"/>
    </row>
    <row r="25" spans="1:11" ht="15.75" customHeight="1" x14ac:dyDescent="0.25">
      <c r="A25" s="24" t="s">
        <v>84</v>
      </c>
      <c r="E25" s="111"/>
      <c r="F25" s="86"/>
      <c r="G25" s="86"/>
      <c r="H25" s="112"/>
      <c r="I25" s="33"/>
      <c r="J25" s="36"/>
    </row>
    <row r="26" spans="1:11" ht="15.75" customHeight="1" x14ac:dyDescent="0.25">
      <c r="A26" s="24"/>
      <c r="E26" s="111"/>
      <c r="F26" s="86"/>
      <c r="G26" s="86"/>
      <c r="H26" s="112"/>
      <c r="I26" s="33"/>
      <c r="J26" s="36"/>
    </row>
    <row r="27" spans="1:11" ht="15.75" customHeight="1" x14ac:dyDescent="0.25">
      <c r="A27" s="25" t="s">
        <v>77</v>
      </c>
      <c r="B27" s="25" t="s">
        <v>75</v>
      </c>
      <c r="C27" s="70">
        <f ca="1">'Timing calculations'!$C$50</f>
        <v>0</v>
      </c>
      <c r="E27" s="96">
        <v>7.6783013865420777</v>
      </c>
      <c r="F27" s="82">
        <v>21.448033799324033</v>
      </c>
      <c r="G27" s="82">
        <v>52.826238458072353</v>
      </c>
      <c r="H27" s="97">
        <v>0</v>
      </c>
      <c r="I27" s="33"/>
      <c r="J27" s="36"/>
    </row>
    <row r="28" spans="1:11" ht="15.75" customHeight="1" x14ac:dyDescent="0.25">
      <c r="A28" s="25" t="s">
        <v>157</v>
      </c>
      <c r="B28" s="25" t="s">
        <v>75</v>
      </c>
      <c r="C28" s="70">
        <f ca="1">'Timing calculations'!$C$53</f>
        <v>0</v>
      </c>
      <c r="E28" s="111">
        <v>-2.2200123260941638</v>
      </c>
      <c r="F28" s="86">
        <v>-7.2862991797621408</v>
      </c>
      <c r="G28" s="86">
        <v>-20.581288438123138</v>
      </c>
      <c r="H28" s="112">
        <v>0</v>
      </c>
      <c r="I28" s="33"/>
      <c r="J28" s="36"/>
    </row>
    <row r="29" spans="1:11" ht="15.75" customHeight="1" x14ac:dyDescent="0.25">
      <c r="B29" s="38"/>
      <c r="C29" s="38"/>
      <c r="D29" s="38"/>
      <c r="E29" s="96"/>
      <c r="F29" s="82"/>
      <c r="G29" s="82"/>
      <c r="H29" s="97"/>
      <c r="I29" s="36"/>
      <c r="J29" s="36"/>
      <c r="K29" s="38"/>
    </row>
    <row r="30" spans="1:11" ht="15.75" customHeight="1" x14ac:dyDescent="0.25">
      <c r="A30" s="25" t="s">
        <v>169</v>
      </c>
      <c r="B30" s="38" t="s">
        <v>75</v>
      </c>
      <c r="C30" s="124">
        <f ca="1">C27+C28</f>
        <v>0</v>
      </c>
      <c r="D30" s="38"/>
      <c r="E30" s="96">
        <v>5.458289060447914</v>
      </c>
      <c r="F30" s="82">
        <v>14.161734619561893</v>
      </c>
      <c r="G30" s="82">
        <v>32.244950019949215</v>
      </c>
      <c r="H30" s="97">
        <v>0</v>
      </c>
      <c r="I30" s="36"/>
      <c r="J30" s="36"/>
      <c r="K30" s="38"/>
    </row>
    <row r="31" spans="1:11" ht="15.75" customHeight="1" x14ac:dyDescent="0.25">
      <c r="B31" s="38"/>
      <c r="C31" s="38"/>
      <c r="D31" s="38"/>
      <c r="E31" s="96"/>
      <c r="F31" s="82"/>
      <c r="G31" s="82"/>
      <c r="H31" s="97"/>
      <c r="I31" s="36"/>
      <c r="J31" s="36"/>
      <c r="K31" s="38"/>
    </row>
    <row r="32" spans="1:11" ht="15.75" customHeight="1" x14ac:dyDescent="0.25">
      <c r="A32" s="24" t="s">
        <v>63</v>
      </c>
      <c r="B32" s="38"/>
      <c r="C32" s="38"/>
      <c r="D32" s="38"/>
      <c r="E32" s="96"/>
      <c r="F32" s="82"/>
      <c r="G32" s="82"/>
      <c r="H32" s="97"/>
      <c r="I32" s="36"/>
      <c r="J32" s="36"/>
      <c r="K32" s="38"/>
    </row>
    <row r="33" spans="1:11" ht="15.75" customHeight="1" x14ac:dyDescent="0.25">
      <c r="A33" s="25" t="s">
        <v>54</v>
      </c>
      <c r="B33" s="38" t="s">
        <v>0</v>
      </c>
      <c r="C33" s="67">
        <f ca="1">'Timing calculations'!$D$19*'Timing calculations'!$D$43</f>
        <v>0</v>
      </c>
      <c r="D33" s="38"/>
      <c r="E33" s="100">
        <v>336.59999999999997</v>
      </c>
      <c r="F33" s="101">
        <v>517.96794480111384</v>
      </c>
      <c r="G33" s="101">
        <v>777.75309589480969</v>
      </c>
      <c r="H33" s="102">
        <v>0</v>
      </c>
      <c r="I33" s="36"/>
      <c r="J33" s="63"/>
      <c r="K33" s="38"/>
    </row>
    <row r="34" spans="1:11" ht="15.75" customHeight="1" x14ac:dyDescent="0.25">
      <c r="A34" s="25" t="s">
        <v>14</v>
      </c>
      <c r="B34" s="38" t="s">
        <v>0</v>
      </c>
      <c r="C34" s="67">
        <f ca="1">'Timing calculations'!$D$48</f>
        <v>0</v>
      </c>
      <c r="D34" s="38"/>
      <c r="E34" s="113">
        <v>9.3799199999999967</v>
      </c>
      <c r="F34" s="87">
        <v>22.68584204770249</v>
      </c>
      <c r="G34" s="87">
        <v>48.99844504137301</v>
      </c>
      <c r="H34" s="114">
        <v>0</v>
      </c>
      <c r="I34" s="68"/>
      <c r="J34" s="68"/>
      <c r="K34" s="38"/>
    </row>
    <row r="35" spans="1:11" ht="15.75" customHeight="1" x14ac:dyDescent="0.25">
      <c r="A35" s="25" t="s">
        <v>80</v>
      </c>
      <c r="B35" s="38"/>
      <c r="C35" s="125">
        <f ca="1">$C$34/'Timing calculations'!$D$19</f>
        <v>0</v>
      </c>
      <c r="D35" s="38"/>
      <c r="E35" s="106">
        <v>2.5079999999999989E-3</v>
      </c>
      <c r="F35" s="84">
        <v>5.2557326627028847E-3</v>
      </c>
      <c r="G35" s="84">
        <v>9.4500000000000001E-3</v>
      </c>
      <c r="H35" s="107">
        <v>0</v>
      </c>
      <c r="I35" s="36"/>
      <c r="J35" s="36"/>
      <c r="K35" s="38"/>
    </row>
    <row r="36" spans="1:11" ht="15.75" customHeight="1" x14ac:dyDescent="0.25">
      <c r="A36" s="25" t="s">
        <v>78</v>
      </c>
      <c r="B36" s="38"/>
      <c r="C36" s="66">
        <f ca="1">'Timing calculations'!$D$30/8760</f>
        <v>1.0273972602739725E-2</v>
      </c>
      <c r="D36" s="38"/>
      <c r="E36" s="106">
        <v>1.0273972602739725E-2</v>
      </c>
      <c r="F36" s="84">
        <v>1.0273972602739725E-2</v>
      </c>
      <c r="G36" s="84">
        <v>1.0273972602739725E-2</v>
      </c>
      <c r="H36" s="107">
        <v>1.0273972602739725E-2</v>
      </c>
      <c r="I36" s="36"/>
      <c r="J36" s="36"/>
      <c r="K36" s="38"/>
    </row>
    <row r="37" spans="1:11" ht="15.75" customHeight="1" x14ac:dyDescent="0.25">
      <c r="A37" s="25" t="s">
        <v>79</v>
      </c>
      <c r="B37" s="38" t="s">
        <v>74</v>
      </c>
      <c r="C37" s="124">
        <f ca="1">'Timing calculations'!$D$53</f>
        <v>0</v>
      </c>
      <c r="D37" s="38"/>
      <c r="E37" s="108">
        <v>-0.42209639999999987</v>
      </c>
      <c r="F37" s="109">
        <v>-1.0208628921466121</v>
      </c>
      <c r="G37" s="109">
        <v>-2.2049300268617853</v>
      </c>
      <c r="H37" s="110">
        <v>0</v>
      </c>
      <c r="I37" s="36"/>
      <c r="J37" s="36"/>
      <c r="K37" s="38"/>
    </row>
    <row r="38" spans="1:11" ht="15.75" customHeight="1" x14ac:dyDescent="0.25">
      <c r="B38" s="38"/>
      <c r="C38" s="38"/>
      <c r="D38" s="38"/>
      <c r="E38" s="106"/>
      <c r="F38" s="84"/>
      <c r="G38" s="84"/>
      <c r="H38" s="107"/>
      <c r="I38" s="36"/>
      <c r="J38" s="36"/>
      <c r="K38" s="38"/>
    </row>
    <row r="39" spans="1:11" ht="15.75" customHeight="1" x14ac:dyDescent="0.25">
      <c r="A39" s="12" t="s">
        <v>126</v>
      </c>
      <c r="B39" s="38"/>
      <c r="C39" s="38"/>
      <c r="D39" s="38"/>
      <c r="E39" s="94"/>
      <c r="F39" s="85"/>
      <c r="G39" s="85"/>
      <c r="H39" s="95"/>
      <c r="I39" s="36"/>
      <c r="J39" s="36"/>
      <c r="K39" s="38"/>
    </row>
    <row r="40" spans="1:11" ht="15.75" customHeight="1" x14ac:dyDescent="0.25">
      <c r="A40" s="24" t="s">
        <v>19</v>
      </c>
      <c r="B40" s="38" t="s">
        <v>75</v>
      </c>
      <c r="C40" s="124">
        <f ca="1">'Timing calculations'!$C$61</f>
        <v>0</v>
      </c>
      <c r="D40" s="38"/>
      <c r="E40" s="100">
        <v>0</v>
      </c>
      <c r="F40" s="115">
        <v>7.6930108789795106</v>
      </c>
      <c r="G40" s="101">
        <v>19.008088349019076</v>
      </c>
      <c r="H40" s="102">
        <v>0</v>
      </c>
      <c r="I40" s="36"/>
      <c r="J40" s="36"/>
      <c r="K40" s="38"/>
    </row>
    <row r="41" spans="1:11" ht="15.75" customHeight="1" x14ac:dyDescent="0.2">
      <c r="B41" s="38"/>
      <c r="C41" s="38"/>
      <c r="D41" s="38"/>
      <c r="E41" s="94"/>
      <c r="F41" s="85"/>
      <c r="G41" s="85"/>
      <c r="H41" s="95"/>
      <c r="I41" s="38"/>
      <c r="K41" s="38"/>
    </row>
    <row r="42" spans="1:11" ht="15.75" customHeight="1" x14ac:dyDescent="0.25">
      <c r="A42" s="24" t="s">
        <v>63</v>
      </c>
      <c r="B42" s="38"/>
      <c r="C42" s="38"/>
      <c r="D42" s="38"/>
      <c r="E42" s="100"/>
      <c r="F42" s="101"/>
      <c r="G42" s="101"/>
      <c r="H42" s="102"/>
      <c r="I42" s="36"/>
      <c r="J42" s="36"/>
      <c r="K42" s="38"/>
    </row>
    <row r="43" spans="1:11" ht="15.75" customHeight="1" x14ac:dyDescent="0.25">
      <c r="A43" s="25" t="s">
        <v>20</v>
      </c>
      <c r="B43" s="38" t="s">
        <v>1</v>
      </c>
      <c r="C43" s="125">
        <f ca="1">'Timing calculations'!$D$58/'Timing calculations'!$D$18</f>
        <v>0</v>
      </c>
      <c r="D43" s="38"/>
      <c r="E43" s="106">
        <v>0</v>
      </c>
      <c r="F43" s="84">
        <v>6.2787165609104025E-3</v>
      </c>
      <c r="G43" s="84">
        <v>7.8403109150480925E-3</v>
      </c>
      <c r="H43" s="107">
        <v>0</v>
      </c>
      <c r="I43" s="36"/>
      <c r="J43" s="65"/>
      <c r="K43" s="38"/>
    </row>
    <row r="44" spans="1:11" ht="15.75" customHeight="1" x14ac:dyDescent="0.25">
      <c r="B44" s="38"/>
      <c r="C44" s="38"/>
      <c r="D44" s="38"/>
      <c r="E44" s="94"/>
      <c r="F44" s="85"/>
      <c r="G44" s="85"/>
      <c r="H44" s="95"/>
      <c r="I44" s="36"/>
      <c r="J44" s="36"/>
      <c r="K44" s="38"/>
    </row>
    <row r="45" spans="1:11" ht="15.75" customHeight="1" x14ac:dyDescent="0.25">
      <c r="A45" s="40" t="s">
        <v>92</v>
      </c>
      <c r="B45" s="38"/>
      <c r="C45" s="38"/>
      <c r="D45" s="38"/>
      <c r="E45" s="94"/>
      <c r="F45" s="85"/>
      <c r="G45" s="85"/>
      <c r="H45" s="95"/>
      <c r="I45" s="36"/>
      <c r="J45" s="36"/>
      <c r="K45" s="38"/>
    </row>
    <row r="46" spans="1:11" ht="15.75" customHeight="1" x14ac:dyDescent="0.25">
      <c r="A46" s="40"/>
      <c r="B46" s="38"/>
      <c r="C46" s="38"/>
      <c r="D46" s="38"/>
      <c r="E46" s="94"/>
      <c r="F46" s="85"/>
      <c r="G46" s="85"/>
      <c r="H46" s="95"/>
      <c r="I46" s="36"/>
      <c r="J46" s="36"/>
      <c r="K46" s="38"/>
    </row>
    <row r="47" spans="1:11" ht="15.75" customHeight="1" x14ac:dyDescent="0.25">
      <c r="A47" s="40" t="s">
        <v>97</v>
      </c>
      <c r="B47" s="38"/>
      <c r="C47" s="38"/>
      <c r="D47" s="38"/>
      <c r="E47" s="94"/>
      <c r="F47" s="85"/>
      <c r="G47" s="85"/>
      <c r="H47" s="95"/>
      <c r="I47" s="36"/>
      <c r="J47" s="36"/>
      <c r="K47" s="38"/>
    </row>
    <row r="48" spans="1:11" ht="15.75" customHeight="1" x14ac:dyDescent="0.25">
      <c r="A48" s="25" t="s">
        <v>71</v>
      </c>
      <c r="B48" s="38" t="s">
        <v>75</v>
      </c>
      <c r="C48" s="124">
        <f ca="1">'Timing calculations'!$C$68</f>
        <v>-8.052242791028835</v>
      </c>
      <c r="D48" s="38"/>
      <c r="E48" s="100">
        <v>-9.627914951989025</v>
      </c>
      <c r="F48" s="115">
        <v>-8.052242791028835</v>
      </c>
      <c r="G48" s="101">
        <v>-7.1144600591715967</v>
      </c>
      <c r="H48" s="102">
        <v>-8.052242791028835</v>
      </c>
      <c r="I48" s="36"/>
      <c r="J48" s="36"/>
      <c r="K48" s="38"/>
    </row>
    <row r="49" spans="1:16" ht="15.75" customHeight="1" x14ac:dyDescent="0.25">
      <c r="B49" s="38"/>
      <c r="C49" s="38"/>
      <c r="D49" s="38"/>
      <c r="E49" s="100"/>
      <c r="F49" s="101"/>
      <c r="G49" s="101"/>
      <c r="H49" s="102"/>
      <c r="I49" s="36"/>
      <c r="J49" s="36"/>
      <c r="K49" s="38"/>
    </row>
    <row r="50" spans="1:16" ht="15.75" customHeight="1" x14ac:dyDescent="0.25">
      <c r="A50" s="40" t="s">
        <v>95</v>
      </c>
      <c r="B50" s="38"/>
      <c r="C50" s="38"/>
      <c r="D50" s="38"/>
      <c r="E50" s="100"/>
      <c r="F50" s="101"/>
      <c r="G50" s="101"/>
      <c r="H50" s="102"/>
      <c r="I50" s="36"/>
      <c r="J50" s="36"/>
      <c r="K50" s="38"/>
    </row>
    <row r="51" spans="1:16" ht="15.75" customHeight="1" x14ac:dyDescent="0.25">
      <c r="A51" s="25" t="s">
        <v>71</v>
      </c>
      <c r="B51" s="25" t="s">
        <v>75</v>
      </c>
      <c r="C51" s="70">
        <f ca="1">'Timing calculations'!$D$82</f>
        <v>1.793563617449266</v>
      </c>
      <c r="E51" s="116">
        <v>1.1382737701665071</v>
      </c>
      <c r="F51" s="115">
        <v>1.793563617449266</v>
      </c>
      <c r="G51" s="86">
        <v>2.7107950288250939</v>
      </c>
      <c r="H51" s="112">
        <v>1.793563617449266</v>
      </c>
      <c r="I51" s="36"/>
      <c r="J51" s="36"/>
      <c r="K51" s="38"/>
    </row>
    <row r="52" spans="1:16" ht="15.75" customHeight="1" x14ac:dyDescent="0.25">
      <c r="B52" s="38"/>
      <c r="C52" s="38"/>
      <c r="D52" s="38"/>
      <c r="E52" s="100"/>
      <c r="F52" s="101"/>
      <c r="G52" s="101"/>
      <c r="H52" s="102"/>
      <c r="I52" s="36"/>
      <c r="J52" s="36"/>
      <c r="K52" s="38"/>
    </row>
    <row r="53" spans="1:16" ht="15.75" customHeight="1" x14ac:dyDescent="0.25">
      <c r="A53" s="40" t="s">
        <v>96</v>
      </c>
      <c r="E53" s="94"/>
      <c r="F53" s="85"/>
      <c r="G53" s="85"/>
      <c r="H53" s="95"/>
      <c r="I53" s="36"/>
      <c r="J53" s="36"/>
      <c r="K53" s="38"/>
    </row>
    <row r="54" spans="1:16" ht="15.75" customHeight="1" x14ac:dyDescent="0.25">
      <c r="A54" s="25" t="s">
        <v>71</v>
      </c>
      <c r="B54" s="25" t="s">
        <v>75</v>
      </c>
      <c r="C54" s="70">
        <f ca="1">'Timing calculations'!$C$90</f>
        <v>-1.3438946244215022</v>
      </c>
      <c r="E54" s="116">
        <v>-1.5335648148148149</v>
      </c>
      <c r="F54" s="115">
        <v>-1.3438946244215022</v>
      </c>
      <c r="G54" s="115">
        <v>-1.227348372781065</v>
      </c>
      <c r="H54" s="117">
        <v>-1.3438946244215022</v>
      </c>
      <c r="I54" s="36"/>
      <c r="J54" s="25"/>
      <c r="K54" s="38"/>
    </row>
    <row r="55" spans="1:16" ht="15.75" customHeight="1" x14ac:dyDescent="0.25">
      <c r="E55" s="116"/>
      <c r="F55" s="115"/>
      <c r="G55" s="115"/>
      <c r="H55" s="117"/>
      <c r="I55" s="36"/>
      <c r="J55" s="63"/>
      <c r="K55" s="38"/>
    </row>
    <row r="56" spans="1:16" ht="15.75" customHeight="1" x14ac:dyDescent="0.25">
      <c r="A56" s="40" t="s">
        <v>99</v>
      </c>
      <c r="E56" s="94"/>
      <c r="F56" s="85"/>
      <c r="G56" s="85"/>
      <c r="H56" s="95"/>
      <c r="I56" s="36"/>
      <c r="J56" s="36"/>
      <c r="K56" s="38"/>
    </row>
    <row r="57" spans="1:16" ht="15.75" customHeight="1" thickBot="1" x14ac:dyDescent="0.3">
      <c r="A57" s="25" t="s">
        <v>71</v>
      </c>
      <c r="B57" s="25" t="s">
        <v>75</v>
      </c>
      <c r="C57" s="70">
        <f ca="1">'Timing calculations'!$C$96</f>
        <v>0</v>
      </c>
      <c r="E57" s="118">
        <v>0</v>
      </c>
      <c r="F57" s="119">
        <v>0</v>
      </c>
      <c r="G57" s="119">
        <v>0</v>
      </c>
      <c r="H57" s="120">
        <v>0</v>
      </c>
      <c r="I57" s="38"/>
      <c r="J57" s="36"/>
      <c r="K57" s="38"/>
    </row>
    <row r="58" spans="1:16" ht="15" x14ac:dyDescent="0.25">
      <c r="E58" s="38"/>
      <c r="F58" s="38"/>
      <c r="G58" s="38"/>
      <c r="H58" s="38"/>
      <c r="I58" s="38"/>
      <c r="J58" s="36"/>
      <c r="K58" s="38"/>
      <c r="N58" s="69"/>
      <c r="O58" s="69"/>
      <c r="P58" s="69"/>
    </row>
    <row r="59" spans="1:16" ht="15" x14ac:dyDescent="0.25">
      <c r="E59" s="38"/>
      <c r="F59" s="38"/>
      <c r="G59" s="38"/>
      <c r="H59" s="38"/>
      <c r="I59" s="38"/>
      <c r="J59" s="36"/>
      <c r="K59" s="38"/>
      <c r="N59" s="69"/>
      <c r="O59" s="69"/>
      <c r="P59" s="69"/>
    </row>
    <row r="60" spans="1:16" ht="15" x14ac:dyDescent="0.25">
      <c r="E60" s="38"/>
      <c r="F60" s="38"/>
      <c r="G60" s="38"/>
      <c r="H60" s="38"/>
      <c r="I60" s="38"/>
      <c r="J60" s="36"/>
      <c r="K60" s="38"/>
      <c r="N60" s="69"/>
      <c r="O60" s="69"/>
      <c r="P60" s="69"/>
    </row>
    <row r="61" spans="1:16" ht="15" x14ac:dyDescent="0.25">
      <c r="E61" s="38"/>
      <c r="F61" s="38"/>
      <c r="G61" s="38"/>
      <c r="H61" s="38"/>
      <c r="I61" s="38"/>
      <c r="J61" s="36"/>
      <c r="K61" s="38"/>
      <c r="N61" s="69"/>
      <c r="O61" s="69"/>
      <c r="P61" s="69"/>
    </row>
    <row r="62" spans="1:16" ht="15" x14ac:dyDescent="0.25">
      <c r="E62" s="38"/>
      <c r="F62" s="38"/>
      <c r="G62" s="38"/>
      <c r="H62" s="38"/>
      <c r="I62" s="38"/>
      <c r="J62" s="36"/>
      <c r="K62" s="38"/>
      <c r="N62" s="69"/>
      <c r="O62" s="69"/>
      <c r="P62" s="69"/>
    </row>
    <row r="63" spans="1:16" ht="15" x14ac:dyDescent="0.25">
      <c r="E63" s="38"/>
      <c r="F63" s="38"/>
      <c r="G63" s="38"/>
      <c r="H63" s="38"/>
      <c r="I63" s="38"/>
      <c r="J63" s="36"/>
      <c r="K63" s="38"/>
      <c r="N63" s="69"/>
      <c r="O63" s="69"/>
      <c r="P63" s="69"/>
    </row>
    <row r="64" spans="1:16" ht="15" x14ac:dyDescent="0.25">
      <c r="E64" s="38"/>
      <c r="F64" s="38"/>
      <c r="G64" s="38"/>
      <c r="H64" s="38"/>
      <c r="I64" s="38"/>
      <c r="J64" s="36"/>
      <c r="K64" s="38"/>
      <c r="N64" s="69"/>
      <c r="O64" s="69"/>
      <c r="P64" s="69"/>
    </row>
    <row r="65" spans="2:16" ht="17.25" customHeight="1" x14ac:dyDescent="0.25">
      <c r="E65" s="38"/>
      <c r="F65" s="38"/>
      <c r="G65" s="38"/>
      <c r="H65" s="38"/>
      <c r="I65" s="38"/>
      <c r="J65" s="36"/>
      <c r="K65" s="38"/>
      <c r="N65" s="69"/>
      <c r="O65" s="69"/>
      <c r="P65" s="69"/>
    </row>
    <row r="66" spans="2:16" ht="12.75" customHeight="1" x14ac:dyDescent="0.25">
      <c r="E66" s="38"/>
      <c r="F66" s="38"/>
      <c r="G66" s="38"/>
      <c r="H66" s="38"/>
      <c r="I66" s="38"/>
      <c r="J66" s="36"/>
      <c r="K66" s="38"/>
      <c r="N66" s="69"/>
      <c r="O66" s="69"/>
      <c r="P66" s="69"/>
    </row>
    <row r="67" spans="2:16" ht="15" x14ac:dyDescent="0.25">
      <c r="E67" s="38"/>
      <c r="F67" s="38"/>
      <c r="G67" s="38"/>
      <c r="H67" s="38"/>
      <c r="I67" s="38"/>
      <c r="J67" s="36"/>
      <c r="K67" s="38"/>
      <c r="N67" s="69"/>
      <c r="O67" s="69"/>
      <c r="P67" s="69"/>
    </row>
    <row r="68" spans="2:16" ht="15" x14ac:dyDescent="0.25">
      <c r="E68" s="38"/>
      <c r="F68" s="38"/>
      <c r="G68" s="38"/>
      <c r="H68" s="38"/>
      <c r="I68" s="38"/>
      <c r="J68" s="36"/>
      <c r="K68" s="38"/>
      <c r="N68" s="69"/>
      <c r="O68" s="69"/>
      <c r="P68" s="69"/>
    </row>
    <row r="69" spans="2:16" ht="15" x14ac:dyDescent="0.25">
      <c r="E69" s="38"/>
      <c r="F69" s="38"/>
      <c r="G69" s="38"/>
      <c r="H69" s="38"/>
      <c r="I69" s="38"/>
      <c r="J69" s="36"/>
      <c r="K69" s="38"/>
      <c r="N69" s="69"/>
      <c r="O69" s="69"/>
      <c r="P69" s="69"/>
    </row>
    <row r="70" spans="2:16" ht="15" x14ac:dyDescent="0.25">
      <c r="E70" s="38"/>
      <c r="F70" s="38"/>
      <c r="G70" s="38"/>
      <c r="H70" s="38"/>
      <c r="I70" s="38"/>
      <c r="J70" s="36"/>
      <c r="K70" s="38"/>
    </row>
    <row r="71" spans="2:16" ht="15" x14ac:dyDescent="0.25">
      <c r="E71" s="38"/>
      <c r="F71" s="38"/>
      <c r="G71" s="38"/>
      <c r="H71" s="38"/>
      <c r="I71" s="38"/>
      <c r="J71" s="36"/>
      <c r="K71" s="38"/>
    </row>
    <row r="72" spans="2:16" ht="15" x14ac:dyDescent="0.25">
      <c r="E72" s="38"/>
      <c r="F72" s="38"/>
      <c r="G72" s="38"/>
      <c r="H72" s="38"/>
      <c r="I72" s="36"/>
      <c r="J72" s="36"/>
      <c r="K72" s="38"/>
    </row>
    <row r="73" spans="2:16" ht="15" x14ac:dyDescent="0.25">
      <c r="E73" s="38"/>
      <c r="F73" s="38"/>
      <c r="G73" s="38"/>
      <c r="H73" s="38"/>
      <c r="I73" s="36"/>
      <c r="J73" s="36"/>
      <c r="K73" s="38"/>
    </row>
    <row r="74" spans="2:16" ht="15" x14ac:dyDescent="0.25">
      <c r="E74" s="38"/>
      <c r="F74" s="38"/>
      <c r="G74" s="38"/>
      <c r="H74" s="38"/>
      <c r="I74" s="36"/>
      <c r="J74" s="36"/>
      <c r="K74" s="38"/>
    </row>
    <row r="75" spans="2:16" ht="15" x14ac:dyDescent="0.25">
      <c r="B75" s="70"/>
      <c r="C75" s="70"/>
      <c r="D75" s="70"/>
      <c r="E75" s="38"/>
      <c r="F75" s="38"/>
      <c r="G75" s="38"/>
      <c r="H75" s="38"/>
      <c r="I75" s="36"/>
      <c r="J75" s="36"/>
      <c r="K75" s="38"/>
    </row>
    <row r="76" spans="2:16" ht="15" x14ac:dyDescent="0.25">
      <c r="I76" s="33"/>
      <c r="J76" s="36"/>
    </row>
    <row r="77" spans="2:16" ht="15" x14ac:dyDescent="0.25">
      <c r="I77" s="33"/>
      <c r="J77" s="36"/>
    </row>
    <row r="78" spans="2:16" ht="15" x14ac:dyDescent="0.25">
      <c r="I78" s="33"/>
      <c r="J78" s="36"/>
    </row>
    <row r="79" spans="2:16" ht="15" x14ac:dyDescent="0.25">
      <c r="I79" s="33"/>
      <c r="J79" s="36"/>
    </row>
    <row r="80" spans="2:16" ht="15" x14ac:dyDescent="0.25">
      <c r="I80" s="33"/>
      <c r="J80" s="36"/>
    </row>
    <row r="81" spans="9:10" ht="15" x14ac:dyDescent="0.25">
      <c r="I81" s="33"/>
      <c r="J81" s="36"/>
    </row>
  </sheetData>
  <hyperlinks>
    <hyperlink ref="J19" display="http://www.synapse-energy.com/sites/default/files/SynapseReport.2013-03.RAP_.US-Demand-Response.12-080.pdf_x000a_Lots of good diagrams/resources in here from US markets. Figure ES4 suggests slightly more than 1% (2007). Figure 5 shows 2003 numbers, and they're "/>
  </hyperlinks>
  <pageMargins left="0.70866141732283472" right="0.70866141732283472" top="0.74803149606299213" bottom="0.74803149606299213" header="0.31496062992125984" footer="0.31496062992125984"/>
  <pageSetup paperSize="8" scale="79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workbookViewId="0">
      <selection activeCell="A27" sqref="A27"/>
    </sheetView>
  </sheetViews>
  <sheetFormatPr defaultRowHeight="15" x14ac:dyDescent="0.25"/>
  <cols>
    <col min="1" max="2" width="22.140625" customWidth="1"/>
    <col min="3" max="5" width="15.85546875" customWidth="1"/>
  </cols>
  <sheetData>
    <row r="1" spans="1:5" x14ac:dyDescent="0.25">
      <c r="A1" s="2" t="s">
        <v>26</v>
      </c>
      <c r="B1" s="2"/>
      <c r="C1" s="3" t="s">
        <v>16</v>
      </c>
      <c r="D1" s="3" t="s">
        <v>8</v>
      </c>
      <c r="E1" s="3" t="s">
        <v>17</v>
      </c>
    </row>
    <row r="2" spans="1:5" ht="15.75" thickBot="1" x14ac:dyDescent="0.3">
      <c r="A2" s="4" t="s">
        <v>161</v>
      </c>
      <c r="B2" s="5"/>
      <c r="C2" s="6"/>
      <c r="D2" s="6"/>
      <c r="E2" s="6"/>
    </row>
    <row r="3" spans="1:5" s="128" customFormat="1" ht="15.75" thickBot="1" x14ac:dyDescent="0.3">
      <c r="A3" s="7" t="s">
        <v>188</v>
      </c>
      <c r="B3" s="7"/>
      <c r="C3" s="132">
        <f>'Detailed Results'!E10</f>
        <v>27.931134406265219</v>
      </c>
      <c r="D3" s="132">
        <f>'Detailed Results'!F10</f>
        <v>47.776071074146827</v>
      </c>
      <c r="E3" s="132">
        <f>'Detailed Results'!G10</f>
        <v>84.747976135944981</v>
      </c>
    </row>
    <row r="4" spans="1:5" s="128" customFormat="1" ht="16.5" thickTop="1" thickBot="1" x14ac:dyDescent="0.3">
      <c r="A4" s="8" t="s">
        <v>127</v>
      </c>
      <c r="B4" s="8"/>
      <c r="C4" s="133">
        <f>'Detailed Results'!E27</f>
        <v>7.6783013865420777</v>
      </c>
      <c r="D4" s="133">
        <f>'Detailed Results'!F27</f>
        <v>21.448033799324033</v>
      </c>
      <c r="E4" s="133">
        <f>'Detailed Results'!G27</f>
        <v>52.826238458072353</v>
      </c>
    </row>
    <row r="5" spans="1:5" s="128" customFormat="1" ht="15.75" thickBot="1" x14ac:dyDescent="0.3">
      <c r="A5" s="7" t="s">
        <v>22</v>
      </c>
      <c r="B5" s="7"/>
      <c r="C5" s="134">
        <f>'Detailed Results'!E$40</f>
        <v>0</v>
      </c>
      <c r="D5" s="134">
        <f>'Detailed Results'!F$40</f>
        <v>7.6930108789795106</v>
      </c>
      <c r="E5" s="134">
        <f>'Detailed Results'!G$40</f>
        <v>19.008088349019076</v>
      </c>
    </row>
    <row r="6" spans="1:5" s="128" customFormat="1" ht="16.5" thickTop="1" thickBot="1" x14ac:dyDescent="0.3">
      <c r="A6" s="8" t="s">
        <v>159</v>
      </c>
      <c r="B6" s="8"/>
      <c r="C6" s="135">
        <f>SUM(C$3:C$5)</f>
        <v>35.609435792807297</v>
      </c>
      <c r="D6" s="135">
        <f t="shared" ref="D6:E6" si="0">SUM(D$3:D$5)</f>
        <v>76.917115752450371</v>
      </c>
      <c r="E6" s="135">
        <f t="shared" si="0"/>
        <v>156.58230294303644</v>
      </c>
    </row>
    <row r="7" spans="1:5" s="128" customFormat="1" ht="15.75" thickBot="1" x14ac:dyDescent="0.3">
      <c r="A7" s="7"/>
      <c r="B7" s="7"/>
      <c r="C7" s="132"/>
      <c r="D7" s="132"/>
      <c r="E7" s="132"/>
    </row>
    <row r="8" spans="1:5" s="128" customFormat="1" ht="15.75" thickBot="1" x14ac:dyDescent="0.3">
      <c r="A8" s="4" t="s">
        <v>174</v>
      </c>
      <c r="B8" s="5"/>
      <c r="C8" s="6"/>
      <c r="D8" s="6"/>
      <c r="E8" s="6"/>
    </row>
    <row r="9" spans="1:5" s="128" customFormat="1" ht="15.75" thickBot="1" x14ac:dyDescent="0.3">
      <c r="A9" s="5" t="s">
        <v>162</v>
      </c>
      <c r="B9" s="5"/>
      <c r="C9" s="6">
        <f>'Detailed Results'!E11</f>
        <v>-4.8412879810206908</v>
      </c>
      <c r="D9" s="6">
        <f>'Detailed Results'!F11</f>
        <v>-8.884289573768994</v>
      </c>
      <c r="E9" s="6">
        <f>'Detailed Results'!G11</f>
        <v>-16.509054896890216</v>
      </c>
    </row>
    <row r="10" spans="1:5" s="128" customFormat="1" ht="16.5" thickTop="1" thickBot="1" x14ac:dyDescent="0.3">
      <c r="A10" s="8" t="s">
        <v>163</v>
      </c>
      <c r="B10" s="8"/>
      <c r="C10" s="136">
        <f>'Detailed Results'!E28</f>
        <v>-2.2200123260941638</v>
      </c>
      <c r="D10" s="136">
        <f>'Detailed Results'!F28</f>
        <v>-7.2862991797621408</v>
      </c>
      <c r="E10" s="136">
        <f>'Detailed Results'!G28</f>
        <v>-20.581288438123138</v>
      </c>
    </row>
    <row r="11" spans="1:5" s="128" customFormat="1" ht="15.75" thickBot="1" x14ac:dyDescent="0.3">
      <c r="A11" s="7" t="s">
        <v>189</v>
      </c>
      <c r="B11" s="73"/>
      <c r="C11" s="137">
        <f>SUM(C$9:C$10)</f>
        <v>-7.0613003071148546</v>
      </c>
      <c r="D11" s="137">
        <f t="shared" ref="D11:E11" si="1">SUM(D$9:D$10)</f>
        <v>-16.170588753531135</v>
      </c>
      <c r="E11" s="137">
        <f t="shared" si="1"/>
        <v>-37.090343335013358</v>
      </c>
    </row>
    <row r="12" spans="1:5" s="128" customFormat="1" ht="15.75" thickBot="1" x14ac:dyDescent="0.3">
      <c r="A12" s="7"/>
      <c r="B12" s="7"/>
      <c r="C12" s="138"/>
      <c r="D12" s="138"/>
      <c r="E12" s="138"/>
    </row>
    <row r="13" spans="1:5" s="128" customFormat="1" ht="15.75" thickBot="1" x14ac:dyDescent="0.3">
      <c r="A13" s="4" t="s">
        <v>160</v>
      </c>
      <c r="B13" s="5"/>
      <c r="C13" s="6"/>
      <c r="D13" s="6"/>
      <c r="E13" s="6"/>
    </row>
    <row r="14" spans="1:5" s="128" customFormat="1" ht="15.75" thickBot="1" x14ac:dyDescent="0.3">
      <c r="A14" s="7" t="s">
        <v>47</v>
      </c>
      <c r="B14" s="7"/>
      <c r="C14" s="132">
        <f>'Detailed Results'!E$48</f>
        <v>-9.627914951989025</v>
      </c>
      <c r="D14" s="132">
        <f>'Detailed Results'!F$48</f>
        <v>-8.052242791028835</v>
      </c>
      <c r="E14" s="132">
        <f>'Detailed Results'!G$48</f>
        <v>-7.1144600591715967</v>
      </c>
    </row>
    <row r="15" spans="1:5" s="128" customFormat="1" ht="16.5" thickTop="1" thickBot="1" x14ac:dyDescent="0.3">
      <c r="A15" s="8" t="s">
        <v>53</v>
      </c>
      <c r="B15" s="8"/>
      <c r="C15" s="133">
        <f>'Detailed Results'!E$51+'Detailed Results'!E$54</f>
        <v>-0.39529104464830778</v>
      </c>
      <c r="D15" s="133">
        <f>'Detailed Results'!F$51+'Detailed Results'!F$54</f>
        <v>0.44966899302776375</v>
      </c>
      <c r="E15" s="133">
        <f>'Detailed Results'!G$51+'Detailed Results'!G$54</f>
        <v>1.4834466560440289</v>
      </c>
    </row>
    <row r="16" spans="1:5" s="128" customFormat="1" ht="15.75" thickBot="1" x14ac:dyDescent="0.3">
      <c r="A16" s="7" t="s">
        <v>18</v>
      </c>
      <c r="B16" s="7"/>
      <c r="C16" s="134">
        <f>'Detailed Results'!E$57</f>
        <v>0</v>
      </c>
      <c r="D16" s="134">
        <f>'Detailed Results'!F$57</f>
        <v>0</v>
      </c>
      <c r="E16" s="134">
        <f>'Detailed Results'!G$57</f>
        <v>0</v>
      </c>
    </row>
    <row r="17" spans="1:5" s="128" customFormat="1" ht="16.5" thickTop="1" thickBot="1" x14ac:dyDescent="0.3">
      <c r="A17" s="8" t="s">
        <v>46</v>
      </c>
      <c r="B17" s="8"/>
      <c r="C17" s="135">
        <f>SUM(C$14:C$16)</f>
        <v>-10.023205996637333</v>
      </c>
      <c r="D17" s="135">
        <f t="shared" ref="D17:E17" si="2">SUM(D$14:D$16)</f>
        <v>-7.602573798001071</v>
      </c>
      <c r="E17" s="135">
        <f t="shared" si="2"/>
        <v>-5.631013403127568</v>
      </c>
    </row>
    <row r="18" spans="1:5" ht="15.75" thickBot="1" x14ac:dyDescent="0.3">
      <c r="A18" s="1"/>
      <c r="B18" s="1"/>
      <c r="C18" s="139"/>
      <c r="D18" s="139"/>
      <c r="E18" s="139"/>
    </row>
    <row r="19" spans="1:5" ht="15.75" thickBot="1" x14ac:dyDescent="0.3">
      <c r="A19" s="9" t="s">
        <v>48</v>
      </c>
      <c r="B19" s="9"/>
      <c r="C19" s="140">
        <f>+C6+C11+C17</f>
        <v>18.524929489055108</v>
      </c>
      <c r="D19" s="140">
        <f>+D6+D11+D17</f>
        <v>53.143953200918162</v>
      </c>
      <c r="E19" s="140">
        <f>+E6+E11+E17</f>
        <v>113.86094620489551</v>
      </c>
    </row>
    <row r="20" spans="1:5" ht="15.75" thickBot="1" x14ac:dyDescent="0.3">
      <c r="A20" s="9" t="s">
        <v>167</v>
      </c>
      <c r="B20" s="9"/>
      <c r="C20" s="141">
        <f>C6/-(C9+C10+C17)</f>
        <v>2.0843116657685665</v>
      </c>
      <c r="D20" s="141">
        <f t="shared" ref="D20:E20" si="3">D6/-(D9+D10+D17)</f>
        <v>3.2354599681771403</v>
      </c>
      <c r="E20" s="141">
        <f t="shared" si="3"/>
        <v>3.665199677594563</v>
      </c>
    </row>
    <row r="21" spans="1:5" x14ac:dyDescent="0.25">
      <c r="A21" s="1"/>
      <c r="B21" s="1"/>
      <c r="C21" s="127"/>
      <c r="D21" s="127"/>
      <c r="E21" s="127"/>
    </row>
    <row r="22" spans="1:5" x14ac:dyDescent="0.25">
      <c r="A22" s="1" t="s">
        <v>49</v>
      </c>
      <c r="B22" s="1"/>
      <c r="C22" s="1"/>
      <c r="D22" s="1"/>
      <c r="E22" s="1"/>
    </row>
    <row r="27" spans="1:5" x14ac:dyDescent="0.25">
      <c r="C27" s="160"/>
      <c r="D27" s="160"/>
      <c r="E27" s="160"/>
    </row>
  </sheetData>
  <pageMargins left="0.7" right="0.7" top="0.75" bottom="0.75" header="0.3" footer="0.3"/>
  <pageSetup paperSize="9" scale="9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Readme</vt:lpstr>
      <vt:lpstr>Assumptions</vt:lpstr>
      <vt:lpstr>Timing calculations</vt:lpstr>
      <vt:lpstr>Detailed Results</vt:lpstr>
      <vt:lpstr>Results Table</vt:lpstr>
      <vt:lpstr>DiscountRate</vt:lpstr>
      <vt:lpstr>EvaluationPeriod</vt:lpstr>
      <vt:lpstr>'Detailed Results'!Print_Area</vt:lpstr>
      <vt:lpstr>results</vt:lpstr>
      <vt:lpstr>scenarios</vt:lpstr>
      <vt:lpstr>YearsToImplement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Hunt</dc:creator>
  <cp:lastModifiedBy>Justin Wood</cp:lastModifiedBy>
  <cp:lastPrinted>2017-07-20T03:48:01Z</cp:lastPrinted>
  <dcterms:created xsi:type="dcterms:W3CDTF">2015-11-17T01:57:43Z</dcterms:created>
  <dcterms:modified xsi:type="dcterms:W3CDTF">2017-07-31T02:41:16Z</dcterms:modified>
</cp:coreProperties>
</file>