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lient Job Files\EA\Wholesale\EAW033 - Real time price proposal\RTP 2018\CBA revision 2018\"/>
    </mc:Choice>
  </mc:AlternateContent>
  <xr:revisionPtr revIDLastSave="0" documentId="13_ncr:1_{FFC7D46B-297B-4707-A237-80FF8F5582C6}" xr6:coauthVersionLast="38" xr6:coauthVersionMax="38" xr10:uidLastSave="{00000000-0000-0000-0000-000000000000}"/>
  <bookViews>
    <workbookView xWindow="0" yWindow="0" windowWidth="25200" windowHeight="11115" tabRatio="624" firstSheet="2" activeTab="5" xr2:uid="{00000000-000D-0000-FFFF-FFFF00000000}"/>
  </bookViews>
  <sheets>
    <sheet name="Readme" sheetId="13" r:id="rId1"/>
    <sheet name="Assumptions" sheetId="8" r:id="rId2"/>
    <sheet name="CPI" sheetId="14" r:id="rId3"/>
    <sheet name="Timing calculations" sheetId="6" r:id="rId4"/>
    <sheet name="Detailed Results" sheetId="11" r:id="rId5"/>
    <sheet name="Results Table" sheetId="12" r:id="rId6"/>
  </sheets>
  <externalReferences>
    <externalReference r:id="rId7"/>
  </externalReferences>
  <definedNames>
    <definedName name="DiscountRate">Assumptions!$C$5:$E$5</definedName>
    <definedName name="EvaluationPeriod">Assumptions!$C$6:$E$6</definedName>
    <definedName name="_xlnm.Print_Area" localSheetId="4">'Detailed Results'!$A$7:$J$67</definedName>
    <definedName name="results">'Detailed Results'!$C$10:$C$57</definedName>
    <definedName name="scenarios">Assumptions!$C$3:$F$3</definedName>
    <definedName name="solver_adj" localSheetId="1" hidden="1">Assumptions!$A$81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Assumptions!$F$21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  <definedName name="YearsToImplement">Assumptions!$C$8:$E$8</definedName>
  </definedNames>
  <calcPr calcId="179021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7" i="8" l="1"/>
  <c r="C63" i="8" l="1"/>
  <c r="C62" i="8"/>
  <c r="E63" i="8"/>
  <c r="E62" i="8"/>
  <c r="E16" i="12" l="1"/>
  <c r="D44" i="8" l="1"/>
  <c r="D12" i="8" l="1"/>
  <c r="I19" i="6"/>
  <c r="F11" i="6" l="1"/>
  <c r="I18" i="6"/>
  <c r="D11" i="8"/>
  <c r="C45" i="8" l="1"/>
  <c r="D45" i="8"/>
  <c r="D67" i="8" l="1"/>
  <c r="D53" i="8" l="1"/>
  <c r="O53" i="8" s="1"/>
  <c r="D52" i="8"/>
  <c r="O52" i="8" s="1"/>
  <c r="D51" i="8"/>
  <c r="O51" i="8" s="1"/>
  <c r="D36" i="14"/>
  <c r="N63" i="8"/>
  <c r="F45" i="8"/>
  <c r="Q68" i="8"/>
  <c r="P68" i="8"/>
  <c r="O68" i="8"/>
  <c r="N68" i="8"/>
  <c r="P67" i="8"/>
  <c r="O67" i="8"/>
  <c r="N67" i="8"/>
  <c r="Q64" i="8"/>
  <c r="P64" i="8"/>
  <c r="O64" i="8"/>
  <c r="N64" i="8"/>
  <c r="P63" i="8"/>
  <c r="O63" i="8"/>
  <c r="P62" i="8"/>
  <c r="Q61" i="8"/>
  <c r="P61" i="8"/>
  <c r="O61" i="8"/>
  <c r="N61" i="8"/>
  <c r="Q58" i="8"/>
  <c r="P58" i="8"/>
  <c r="O58" i="8"/>
  <c r="N58" i="8"/>
  <c r="O57" i="8"/>
  <c r="Q56" i="8"/>
  <c r="P56" i="8"/>
  <c r="O56" i="8"/>
  <c r="N56" i="8"/>
  <c r="Q55" i="8"/>
  <c r="P55" i="8"/>
  <c r="O55" i="8"/>
  <c r="N55" i="8"/>
  <c r="Q54" i="8"/>
  <c r="P54" i="8"/>
  <c r="O54" i="8"/>
  <c r="N54" i="8"/>
  <c r="Q48" i="8"/>
  <c r="P48" i="8"/>
  <c r="O48" i="8"/>
  <c r="N48" i="8"/>
  <c r="Q47" i="8"/>
  <c r="P47" i="8"/>
  <c r="O47" i="8"/>
  <c r="N47" i="8"/>
  <c r="Q46" i="8"/>
  <c r="P46" i="8"/>
  <c r="O46" i="8"/>
  <c r="N46" i="8"/>
  <c r="Q45" i="8"/>
  <c r="P45" i="8"/>
  <c r="O45" i="8"/>
  <c r="N45" i="8"/>
  <c r="P44" i="8"/>
  <c r="O44" i="8"/>
  <c r="N44" i="8"/>
  <c r="Q41" i="8"/>
  <c r="P41" i="8"/>
  <c r="O41" i="8"/>
  <c r="N41" i="8"/>
  <c r="Q40" i="8"/>
  <c r="P40" i="8"/>
  <c r="O40" i="8"/>
  <c r="N40" i="8"/>
  <c r="Q37" i="8"/>
  <c r="P37" i="8"/>
  <c r="O37" i="8"/>
  <c r="N37" i="8"/>
  <c r="Q36" i="8"/>
  <c r="P36" i="8"/>
  <c r="O36" i="8"/>
  <c r="N36" i="8"/>
  <c r="Q33" i="8"/>
  <c r="P33" i="8"/>
  <c r="O33" i="8"/>
  <c r="N33" i="8"/>
  <c r="Q32" i="8"/>
  <c r="P32" i="8"/>
  <c r="O32" i="8"/>
  <c r="N32" i="8"/>
  <c r="Q31" i="8"/>
  <c r="P31" i="8"/>
  <c r="O31" i="8"/>
  <c r="N31" i="8"/>
  <c r="Q28" i="8"/>
  <c r="P28" i="8"/>
  <c r="O28" i="8"/>
  <c r="N28" i="8"/>
  <c r="Q27" i="8"/>
  <c r="P27" i="8"/>
  <c r="O27" i="8"/>
  <c r="N27" i="8"/>
  <c r="Q26" i="8"/>
  <c r="P26" i="8"/>
  <c r="O26" i="8"/>
  <c r="N26" i="8"/>
  <c r="Q23" i="8"/>
  <c r="P23" i="8"/>
  <c r="O23" i="8"/>
  <c r="N23" i="8"/>
  <c r="Q22" i="8"/>
  <c r="P22" i="8"/>
  <c r="O22" i="8"/>
  <c r="N22" i="8"/>
  <c r="Q21" i="8"/>
  <c r="P21" i="8"/>
  <c r="O21" i="8"/>
  <c r="N21" i="8"/>
  <c r="P16" i="8"/>
  <c r="O16" i="8"/>
  <c r="N16" i="8"/>
  <c r="Q15" i="8"/>
  <c r="P15" i="8"/>
  <c r="O15" i="8"/>
  <c r="N15" i="8"/>
  <c r="Q14" i="8"/>
  <c r="P14" i="8"/>
  <c r="O14" i="8"/>
  <c r="N14" i="8"/>
  <c r="O12" i="8"/>
  <c r="O11" i="8"/>
  <c r="Q8" i="8"/>
  <c r="P8" i="8"/>
  <c r="O8" i="8"/>
  <c r="N8" i="8"/>
  <c r="O7" i="8"/>
  <c r="Q6" i="8"/>
  <c r="P6" i="8"/>
  <c r="O6" i="8"/>
  <c r="N6" i="8"/>
  <c r="Q5" i="8"/>
  <c r="P5" i="8"/>
  <c r="O5" i="8"/>
  <c r="N5" i="8"/>
  <c r="D66" i="6" l="1"/>
  <c r="D59" i="6" l="1"/>
  <c r="D58" i="6"/>
  <c r="D45" i="6"/>
  <c r="D44" i="6"/>
  <c r="D43" i="6"/>
  <c r="D24" i="6"/>
  <c r="D23" i="6"/>
  <c r="D7" i="6"/>
  <c r="I7" i="6" s="1"/>
  <c r="F68" i="8"/>
  <c r="F67" i="8"/>
  <c r="F64" i="8"/>
  <c r="F61" i="8"/>
  <c r="D87" i="6" s="1"/>
  <c r="F58" i="8"/>
  <c r="F57" i="8"/>
  <c r="F54" i="8"/>
  <c r="D76" i="6" s="1"/>
  <c r="F48" i="8"/>
  <c r="F47" i="8"/>
  <c r="D68" i="6" s="1"/>
  <c r="F46" i="8"/>
  <c r="D67" i="6" s="1"/>
  <c r="F44" i="8"/>
  <c r="F37" i="8"/>
  <c r="F36" i="8"/>
  <c r="D46" i="6" s="1"/>
  <c r="F31" i="8"/>
  <c r="F28" i="8"/>
  <c r="D30" i="6" s="1"/>
  <c r="F27" i="8"/>
  <c r="D29" i="6" s="1"/>
  <c r="F26" i="8"/>
  <c r="D28" i="6" s="1"/>
  <c r="F23" i="8"/>
  <c r="D27" i="6" s="1"/>
  <c r="F22" i="8"/>
  <c r="F16" i="8"/>
  <c r="Q16" i="8" s="1"/>
  <c r="F15" i="8"/>
  <c r="D26" i="6" s="1"/>
  <c r="F14" i="8"/>
  <c r="D25" i="6" s="1"/>
  <c r="F11" i="8"/>
  <c r="Q11" i="8" s="1"/>
  <c r="F8" i="8"/>
  <c r="F7" i="8"/>
  <c r="F6" i="8"/>
  <c r="F5" i="8"/>
  <c r="D65" i="6" l="1"/>
  <c r="Q44" i="8"/>
  <c r="F16" i="6"/>
  <c r="Q7" i="8"/>
  <c r="D95" i="6"/>
  <c r="Q67" i="8"/>
  <c r="Q57" i="8"/>
  <c r="F13" i="6"/>
  <c r="F14" i="6"/>
  <c r="F15" i="6"/>
  <c r="R16" i="12"/>
  <c r="D16" i="12"/>
  <c r="Q16" i="12" s="1"/>
  <c r="C16" i="12"/>
  <c r="P16" i="12" s="1"/>
  <c r="E17" i="12" l="1"/>
  <c r="R17" i="12" s="1"/>
  <c r="D17" i="12"/>
  <c r="Q17" i="12" s="1"/>
  <c r="E15" i="12"/>
  <c r="R15" i="12" s="1"/>
  <c r="D15" i="12"/>
  <c r="Q15" i="12" s="1"/>
  <c r="E11" i="12"/>
  <c r="R11" i="12" s="1"/>
  <c r="D11" i="12"/>
  <c r="Q11" i="12" s="1"/>
  <c r="E10" i="12"/>
  <c r="R10" i="12" s="1"/>
  <c r="R12" i="12" s="1"/>
  <c r="D10" i="12"/>
  <c r="Q10" i="12" s="1"/>
  <c r="E6" i="12"/>
  <c r="R6" i="12" s="1"/>
  <c r="D6" i="12"/>
  <c r="Q6" i="12" s="1"/>
  <c r="E5" i="12"/>
  <c r="R5" i="12" s="1"/>
  <c r="D5" i="12"/>
  <c r="Q5" i="12" s="1"/>
  <c r="E4" i="12"/>
  <c r="R4" i="12" s="1"/>
  <c r="D4" i="12"/>
  <c r="Q4" i="12" s="1"/>
  <c r="C6" i="11"/>
  <c r="C11" i="12"/>
  <c r="P11" i="12" s="1"/>
  <c r="C5" i="12"/>
  <c r="P5" i="12" s="1"/>
  <c r="C10" i="12"/>
  <c r="P10" i="12" s="1"/>
  <c r="C4" i="12"/>
  <c r="P4" i="12" s="1"/>
  <c r="C17" i="12"/>
  <c r="P17" i="12" s="1"/>
  <c r="C15" i="12"/>
  <c r="C6" i="12"/>
  <c r="P6" i="12" s="1"/>
  <c r="C21" i="11"/>
  <c r="E26" i="8"/>
  <c r="C26" i="8"/>
  <c r="R18" i="12" l="1"/>
  <c r="P7" i="12"/>
  <c r="P12" i="12"/>
  <c r="H8" i="6"/>
  <c r="J7" i="6"/>
  <c r="K7" i="6" s="1"/>
  <c r="L7" i="6" s="1"/>
  <c r="M7" i="6" s="1"/>
  <c r="Q12" i="12"/>
  <c r="Q18" i="12"/>
  <c r="R7" i="12"/>
  <c r="C18" i="12"/>
  <c r="P15" i="12"/>
  <c r="P18" i="12" s="1"/>
  <c r="Q7" i="12"/>
  <c r="D12" i="12"/>
  <c r="D18" i="12"/>
  <c r="E18" i="12"/>
  <c r="D7" i="12"/>
  <c r="E12" i="12"/>
  <c r="E7" i="12"/>
  <c r="C12" i="12"/>
  <c r="C7" i="12"/>
  <c r="C36" i="11"/>
  <c r="P20" i="12" l="1"/>
  <c r="R20" i="12"/>
  <c r="C21" i="12"/>
  <c r="Q20" i="12"/>
  <c r="D21" i="12"/>
  <c r="I8" i="6"/>
  <c r="D20" i="12"/>
  <c r="J8" i="6" l="1"/>
  <c r="K8" i="6" l="1"/>
  <c r="L8" i="6" l="1"/>
  <c r="M8" i="6" l="1"/>
  <c r="N7" i="6"/>
  <c r="N8" i="6" l="1"/>
  <c r="O7" i="6"/>
  <c r="O8" i="6" l="1"/>
  <c r="P7" i="6"/>
  <c r="P8" i="6" l="1"/>
  <c r="Q7" i="6"/>
  <c r="Q8" i="6" l="1"/>
  <c r="R7" i="6"/>
  <c r="R8" i="6" l="1"/>
  <c r="S7" i="6"/>
  <c r="S8" i="6" l="1"/>
  <c r="T7" i="6"/>
  <c r="T8" i="6" l="1"/>
  <c r="U7" i="6"/>
  <c r="U8" i="6" l="1"/>
  <c r="V7" i="6"/>
  <c r="V8" i="6" l="1"/>
  <c r="W7" i="6"/>
  <c r="W8" i="6" l="1"/>
  <c r="X7" i="6"/>
  <c r="X8" i="6" l="1"/>
  <c r="Y7" i="6"/>
  <c r="C7" i="8"/>
  <c r="N7" i="8" s="1"/>
  <c r="E7" i="8"/>
  <c r="P7" i="8" s="1"/>
  <c r="D9" i="8"/>
  <c r="F9" i="8" l="1"/>
  <c r="Q9" i="8" s="1"/>
  <c r="O9" i="8"/>
  <c r="F12" i="6"/>
  <c r="Y8" i="6"/>
  <c r="Z7" i="6"/>
  <c r="D56" i="8"/>
  <c r="F56" i="8" s="1"/>
  <c r="D78" i="6" s="1"/>
  <c r="D55" i="8"/>
  <c r="F55" i="8" s="1"/>
  <c r="D77" i="6" s="1"/>
  <c r="E54" i="8"/>
  <c r="C54" i="8"/>
  <c r="F53" i="8"/>
  <c r="F51" i="8"/>
  <c r="E57" i="8"/>
  <c r="C57" i="8"/>
  <c r="N57" i="8" s="1"/>
  <c r="F63" i="8"/>
  <c r="E61" i="8"/>
  <c r="C61" i="8"/>
  <c r="D41" i="8"/>
  <c r="C41" i="8"/>
  <c r="E37" i="8"/>
  <c r="C37" i="8"/>
  <c r="E36" i="8"/>
  <c r="C27" i="8"/>
  <c r="E27" i="8"/>
  <c r="C28" i="8"/>
  <c r="E28" i="8"/>
  <c r="E23" i="8"/>
  <c r="C23" i="8"/>
  <c r="Z8" i="6" l="1"/>
  <c r="AA7" i="6"/>
  <c r="D75" i="6"/>
  <c r="Q53" i="8"/>
  <c r="Q51" i="8"/>
  <c r="P57" i="8"/>
  <c r="D79" i="6"/>
  <c r="D89" i="6"/>
  <c r="Q63" i="8"/>
  <c r="C52" i="8"/>
  <c r="N52" i="8" s="1"/>
  <c r="F52" i="8"/>
  <c r="E56" i="8"/>
  <c r="E51" i="8"/>
  <c r="P51" i="8" s="1"/>
  <c r="E52" i="8"/>
  <c r="P52" i="8" s="1"/>
  <c r="C53" i="8"/>
  <c r="N53" i="8" s="1"/>
  <c r="C51" i="8"/>
  <c r="N51" i="8" s="1"/>
  <c r="E53" i="8"/>
  <c r="P53" i="8" s="1"/>
  <c r="C56" i="8"/>
  <c r="C36" i="8"/>
  <c r="AB7" i="6" l="1"/>
  <c r="AA8" i="6"/>
  <c r="D74" i="6"/>
  <c r="Q52" i="8"/>
  <c r="D73" i="6"/>
  <c r="E15" i="8"/>
  <c r="E14" i="8"/>
  <c r="E11" i="8"/>
  <c r="P11" i="8" s="1"/>
  <c r="C11" i="8"/>
  <c r="N11" i="8" s="1"/>
  <c r="C14" i="8"/>
  <c r="C15" i="8"/>
  <c r="C8" i="8"/>
  <c r="C9" i="8" s="1"/>
  <c r="N9" i="8" s="1"/>
  <c r="E8" i="8"/>
  <c r="E9" i="8" s="1"/>
  <c r="P9" i="8" s="1"/>
  <c r="E6" i="8"/>
  <c r="C6" i="8"/>
  <c r="J18" i="6"/>
  <c r="K18" i="6" s="1"/>
  <c r="L18" i="6" s="1"/>
  <c r="M18" i="6" s="1"/>
  <c r="N18" i="6" l="1"/>
  <c r="O18" i="6" s="1"/>
  <c r="P18" i="6" s="1"/>
  <c r="Q18" i="6" s="1"/>
  <c r="R18" i="6" s="1"/>
  <c r="S18" i="6" s="1"/>
  <c r="T18" i="6" s="1"/>
  <c r="U18" i="6" s="1"/>
  <c r="V18" i="6" s="1"/>
  <c r="W18" i="6" s="1"/>
  <c r="X18" i="6" s="1"/>
  <c r="Y18" i="6" s="1"/>
  <c r="Z18" i="6" s="1"/>
  <c r="AA18" i="6" s="1"/>
  <c r="AB8" i="6"/>
  <c r="AC7" i="6"/>
  <c r="AC8" i="6" s="1"/>
  <c r="D13" i="8"/>
  <c r="O13" i="8" s="1"/>
  <c r="F12" i="8"/>
  <c r="Q12" i="8" s="1"/>
  <c r="C12" i="8"/>
  <c r="N12" i="8" s="1"/>
  <c r="C13" i="8"/>
  <c r="N13" i="8" s="1"/>
  <c r="E12" i="8"/>
  <c r="P12" i="8" s="1"/>
  <c r="AB18" i="6" l="1"/>
  <c r="AC18" i="6" s="1"/>
  <c r="E13" i="8"/>
  <c r="P13" i="8" s="1"/>
  <c r="F13" i="8"/>
  <c r="Q13" i="8" s="1"/>
  <c r="E17" i="8"/>
  <c r="P17" i="8" s="1"/>
  <c r="D17" i="8"/>
  <c r="C17" i="8"/>
  <c r="N17" i="8" s="1"/>
  <c r="F17" i="8" l="1"/>
  <c r="Q17" i="8" s="1"/>
  <c r="O17" i="8"/>
  <c r="J19" i="6"/>
  <c r="K19" i="6" s="1"/>
  <c r="L19" i="6" s="1"/>
  <c r="M19" i="6" s="1"/>
  <c r="N19" i="6" l="1"/>
  <c r="O19" i="6" s="1"/>
  <c r="P19" i="6" s="1"/>
  <c r="Q19" i="6" s="1"/>
  <c r="R19" i="6" s="1"/>
  <c r="S19" i="6" s="1"/>
  <c r="T19" i="6" s="1"/>
  <c r="U19" i="6" s="1"/>
  <c r="V19" i="6" s="1"/>
  <c r="W19" i="6" s="1"/>
  <c r="X19" i="6" s="1"/>
  <c r="Y19" i="6" s="1"/>
  <c r="Z19" i="6" s="1"/>
  <c r="AA19" i="6" s="1"/>
  <c r="G6" i="6"/>
  <c r="G11" i="6" s="1"/>
  <c r="AB19" i="6" l="1"/>
  <c r="G16" i="6"/>
  <c r="G14" i="6"/>
  <c r="G12" i="6"/>
  <c r="G15" i="6"/>
  <c r="G13" i="6"/>
  <c r="H6" i="6"/>
  <c r="H11" i="6" s="1"/>
  <c r="AC19" i="6" l="1"/>
  <c r="H16" i="6"/>
  <c r="H14" i="6"/>
  <c r="H81" i="6" s="1"/>
  <c r="H12" i="6"/>
  <c r="H48" i="6" s="1"/>
  <c r="H49" i="6" s="1"/>
  <c r="H15" i="6"/>
  <c r="H13" i="6"/>
  <c r="H69" i="6" s="1"/>
  <c r="H32" i="6"/>
  <c r="I6" i="6"/>
  <c r="I11" i="6" s="1"/>
  <c r="H61" i="6" l="1"/>
  <c r="I16" i="6"/>
  <c r="I97" i="6" s="1"/>
  <c r="I14" i="6"/>
  <c r="I81" i="6" s="1"/>
  <c r="I12" i="6"/>
  <c r="I15" i="6"/>
  <c r="I13" i="6"/>
  <c r="I69" i="6" s="1"/>
  <c r="H82" i="6"/>
  <c r="H97" i="6"/>
  <c r="H91" i="6"/>
  <c r="H33" i="6"/>
  <c r="H52" i="6"/>
  <c r="J6" i="6"/>
  <c r="J11" i="6" s="1"/>
  <c r="H37" i="6" l="1"/>
  <c r="H34" i="6"/>
  <c r="I48" i="6"/>
  <c r="H83" i="6"/>
  <c r="I61" i="6"/>
  <c r="I32" i="6"/>
  <c r="I33" i="6" s="1"/>
  <c r="I34" i="6" s="1"/>
  <c r="J15" i="6"/>
  <c r="J13" i="6"/>
  <c r="J69" i="6" s="1"/>
  <c r="J12" i="6"/>
  <c r="J16" i="6"/>
  <c r="J97" i="6" s="1"/>
  <c r="J14" i="6"/>
  <c r="J81" i="6" s="1"/>
  <c r="I82" i="6"/>
  <c r="I83" i="6" s="1"/>
  <c r="H36" i="6"/>
  <c r="H51" i="6"/>
  <c r="H53" i="6" s="1"/>
  <c r="H50" i="6"/>
  <c r="K6" i="6"/>
  <c r="K11" i="6" s="1"/>
  <c r="I52" i="6" l="1"/>
  <c r="I49" i="6"/>
  <c r="I50" i="6" s="1"/>
  <c r="I51" i="6"/>
  <c r="J48" i="6"/>
  <c r="J51" i="6" s="1"/>
  <c r="I37" i="6"/>
  <c r="J61" i="6"/>
  <c r="J32" i="6"/>
  <c r="J33" i="6" s="1"/>
  <c r="J34" i="6" s="1"/>
  <c r="K15" i="6"/>
  <c r="K91" i="6" s="1"/>
  <c r="K13" i="6"/>
  <c r="K69" i="6" s="1"/>
  <c r="K16" i="6"/>
  <c r="K97" i="6" s="1"/>
  <c r="K14" i="6"/>
  <c r="K81" i="6" s="1"/>
  <c r="K12" i="6"/>
  <c r="I36" i="6"/>
  <c r="J82" i="6"/>
  <c r="H54" i="6"/>
  <c r="I35" i="6"/>
  <c r="L6" i="6"/>
  <c r="L11" i="6" s="1"/>
  <c r="I53" i="6" l="1"/>
  <c r="J49" i="6"/>
  <c r="J50" i="6" s="1"/>
  <c r="J52" i="6"/>
  <c r="J53" i="6" s="1"/>
  <c r="K48" i="6"/>
  <c r="J83" i="6"/>
  <c r="J37" i="6"/>
  <c r="I38" i="6"/>
  <c r="I39" i="6" s="1"/>
  <c r="K61" i="6"/>
  <c r="K32" i="6"/>
  <c r="K33" i="6" s="1"/>
  <c r="K34" i="6" s="1"/>
  <c r="L13" i="6"/>
  <c r="L69" i="6" s="1"/>
  <c r="L15" i="6"/>
  <c r="L91" i="6" s="1"/>
  <c r="L16" i="6"/>
  <c r="L97" i="6" s="1"/>
  <c r="L14" i="6"/>
  <c r="L81" i="6" s="1"/>
  <c r="L12" i="6"/>
  <c r="J35" i="6"/>
  <c r="J36" i="6"/>
  <c r="K82" i="6"/>
  <c r="K83" i="6" s="1"/>
  <c r="H35" i="6"/>
  <c r="H38" i="6"/>
  <c r="M6" i="6"/>
  <c r="M11" i="6" s="1"/>
  <c r="K51" i="6" l="1"/>
  <c r="K49" i="6"/>
  <c r="J54" i="6"/>
  <c r="K52" i="6"/>
  <c r="L48" i="6"/>
  <c r="L51" i="6" s="1"/>
  <c r="K37" i="6"/>
  <c r="L61" i="6"/>
  <c r="L32" i="6"/>
  <c r="L33" i="6" s="1"/>
  <c r="L34" i="6" s="1"/>
  <c r="M15" i="6"/>
  <c r="M91" i="6" s="1"/>
  <c r="M13" i="6"/>
  <c r="M69" i="6" s="1"/>
  <c r="M16" i="6"/>
  <c r="M97" i="6" s="1"/>
  <c r="M14" i="6"/>
  <c r="M81" i="6" s="1"/>
  <c r="M12" i="6"/>
  <c r="M48" i="6" s="1"/>
  <c r="M49" i="6" s="1"/>
  <c r="K36" i="6"/>
  <c r="L82" i="6"/>
  <c r="L83" i="6" s="1"/>
  <c r="H39" i="6"/>
  <c r="K35" i="6"/>
  <c r="J38" i="6"/>
  <c r="J39" i="6" s="1"/>
  <c r="I54" i="6"/>
  <c r="N6" i="6"/>
  <c r="N11" i="6" s="1"/>
  <c r="K53" i="6" l="1"/>
  <c r="K38" i="6"/>
  <c r="K39" i="6" s="1"/>
  <c r="L52" i="6"/>
  <c r="L53" i="6" s="1"/>
  <c r="L49" i="6"/>
  <c r="M52" i="6"/>
  <c r="L37" i="6"/>
  <c r="M61" i="6"/>
  <c r="M32" i="6"/>
  <c r="N16" i="6"/>
  <c r="N97" i="6" s="1"/>
  <c r="N14" i="6"/>
  <c r="N81" i="6" s="1"/>
  <c r="N12" i="6"/>
  <c r="N48" i="6" s="1"/>
  <c r="N49" i="6" s="1"/>
  <c r="N15" i="6"/>
  <c r="N91" i="6" s="1"/>
  <c r="N13" i="6"/>
  <c r="N69" i="6" s="1"/>
  <c r="L36" i="6"/>
  <c r="L35" i="6"/>
  <c r="M82" i="6"/>
  <c r="M83" i="6" s="1"/>
  <c r="M51" i="6"/>
  <c r="K50" i="6"/>
  <c r="O6" i="6"/>
  <c r="O11" i="6" s="1"/>
  <c r="N52" i="6" l="1"/>
  <c r="M53" i="6"/>
  <c r="K54" i="6"/>
  <c r="M33" i="6"/>
  <c r="N61" i="6"/>
  <c r="N32" i="6"/>
  <c r="N33" i="6" s="1"/>
  <c r="O16" i="6"/>
  <c r="O97" i="6" s="1"/>
  <c r="O14" i="6"/>
  <c r="O81" i="6" s="1"/>
  <c r="O12" i="6"/>
  <c r="O48" i="6" s="1"/>
  <c r="O49" i="6" s="1"/>
  <c r="O15" i="6"/>
  <c r="O91" i="6" s="1"/>
  <c r="O13" i="6"/>
  <c r="O69" i="6" s="1"/>
  <c r="N82" i="6"/>
  <c r="N83" i="6" s="1"/>
  <c r="N51" i="6"/>
  <c r="L38" i="6"/>
  <c r="P6" i="6"/>
  <c r="P11" i="6" s="1"/>
  <c r="N34" i="6" l="1"/>
  <c r="N35" i="6" s="1"/>
  <c r="M34" i="6"/>
  <c r="M35" i="6" s="1"/>
  <c r="N53" i="6"/>
  <c r="O52" i="6"/>
  <c r="N37" i="6"/>
  <c r="M37" i="6"/>
  <c r="M36" i="6"/>
  <c r="O61" i="6"/>
  <c r="O32" i="6"/>
  <c r="P12" i="6"/>
  <c r="P48" i="6" s="1"/>
  <c r="P49" i="6" s="1"/>
  <c r="P16" i="6"/>
  <c r="P97" i="6" s="1"/>
  <c r="P14" i="6"/>
  <c r="P81" i="6" s="1"/>
  <c r="P15" i="6"/>
  <c r="P91" i="6" s="1"/>
  <c r="P13" i="6"/>
  <c r="P69" i="6" s="1"/>
  <c r="L39" i="6"/>
  <c r="N36" i="6"/>
  <c r="O82" i="6"/>
  <c r="O83" i="6" s="1"/>
  <c r="Q6" i="6"/>
  <c r="Q11" i="6" s="1"/>
  <c r="P52" i="6" l="1"/>
  <c r="O51" i="6"/>
  <c r="O53" i="6" s="1"/>
  <c r="M38" i="6"/>
  <c r="M39" i="6" s="1"/>
  <c r="N38" i="6"/>
  <c r="N39" i="6" s="1"/>
  <c r="O33" i="6"/>
  <c r="P61" i="6"/>
  <c r="P32" i="6"/>
  <c r="P33" i="6" s="1"/>
  <c r="Q16" i="6"/>
  <c r="Q97" i="6" s="1"/>
  <c r="Q14" i="6"/>
  <c r="Q81" i="6" s="1"/>
  <c r="Q12" i="6"/>
  <c r="Q48" i="6" s="1"/>
  <c r="Q49" i="6" s="1"/>
  <c r="Q15" i="6"/>
  <c r="Q91" i="6" s="1"/>
  <c r="Q13" i="6"/>
  <c r="Q69" i="6" s="1"/>
  <c r="P82" i="6"/>
  <c r="P83" i="6" s="1"/>
  <c r="P51" i="6"/>
  <c r="R6" i="6"/>
  <c r="R11" i="6" s="1"/>
  <c r="P34" i="6" l="1"/>
  <c r="P35" i="6" s="1"/>
  <c r="O36" i="6"/>
  <c r="O34" i="6"/>
  <c r="P53" i="6"/>
  <c r="Q51" i="6"/>
  <c r="O35" i="6"/>
  <c r="P37" i="6"/>
  <c r="O37" i="6"/>
  <c r="Q61" i="6"/>
  <c r="Q32" i="6"/>
  <c r="R15" i="6"/>
  <c r="R91" i="6" s="1"/>
  <c r="R13" i="6"/>
  <c r="R69" i="6" s="1"/>
  <c r="R16" i="6"/>
  <c r="R97" i="6" s="1"/>
  <c r="R14" i="6"/>
  <c r="R81" i="6" s="1"/>
  <c r="R12" i="6"/>
  <c r="R48" i="6" s="1"/>
  <c r="R49" i="6" s="1"/>
  <c r="P36" i="6"/>
  <c r="Q82" i="6"/>
  <c r="Q83" i="6" s="1"/>
  <c r="P50" i="6"/>
  <c r="S6" i="6"/>
  <c r="S11" i="6" s="1"/>
  <c r="O38" i="6" l="1"/>
  <c r="O39" i="6" s="1"/>
  <c r="Q52" i="6"/>
  <c r="Q53" i="6" s="1"/>
  <c r="R52" i="6"/>
  <c r="P38" i="6"/>
  <c r="P39" i="6" s="1"/>
  <c r="Q33" i="6"/>
  <c r="R61" i="6"/>
  <c r="R32" i="6"/>
  <c r="R33" i="6" s="1"/>
  <c r="S15" i="6"/>
  <c r="S91" i="6" s="1"/>
  <c r="S13" i="6"/>
  <c r="S69" i="6" s="1"/>
  <c r="S16" i="6"/>
  <c r="S97" i="6" s="1"/>
  <c r="S14" i="6"/>
  <c r="S81" i="6" s="1"/>
  <c r="S12" i="6"/>
  <c r="S48" i="6" s="1"/>
  <c r="S49" i="6" s="1"/>
  <c r="R82" i="6"/>
  <c r="R83" i="6" s="1"/>
  <c r="R51" i="6"/>
  <c r="P54" i="6"/>
  <c r="Q50" i="6"/>
  <c r="T6" i="6"/>
  <c r="T11" i="6" s="1"/>
  <c r="Q34" i="6" l="1"/>
  <c r="Q35" i="6" s="1"/>
  <c r="R34" i="6"/>
  <c r="R53" i="6"/>
  <c r="S51" i="6"/>
  <c r="R35" i="6"/>
  <c r="Q36" i="6"/>
  <c r="R37" i="6"/>
  <c r="Q37" i="6"/>
  <c r="S61" i="6"/>
  <c r="S32" i="6"/>
  <c r="S33" i="6" s="1"/>
  <c r="S34" i="6" s="1"/>
  <c r="T13" i="6"/>
  <c r="T69" i="6" s="1"/>
  <c r="T15" i="6"/>
  <c r="T91" i="6" s="1"/>
  <c r="T16" i="6"/>
  <c r="T97" i="6" s="1"/>
  <c r="T14" i="6"/>
  <c r="T81" i="6" s="1"/>
  <c r="T12" i="6"/>
  <c r="T48" i="6" s="1"/>
  <c r="T49" i="6" s="1"/>
  <c r="R36" i="6"/>
  <c r="S82" i="6"/>
  <c r="S83" i="6" s="1"/>
  <c r="Q54" i="6"/>
  <c r="R50" i="6"/>
  <c r="U6" i="6"/>
  <c r="U11" i="6" s="1"/>
  <c r="S52" i="6" l="1"/>
  <c r="S53" i="6" s="1"/>
  <c r="T51" i="6"/>
  <c r="R38" i="6"/>
  <c r="R39" i="6" s="1"/>
  <c r="Q38" i="6"/>
  <c r="Q39" i="6" s="1"/>
  <c r="S37" i="6"/>
  <c r="T61" i="6"/>
  <c r="T32" i="6"/>
  <c r="T33" i="6" s="1"/>
  <c r="T34" i="6" s="1"/>
  <c r="U15" i="6"/>
  <c r="U91" i="6" s="1"/>
  <c r="U13" i="6"/>
  <c r="U69" i="6" s="1"/>
  <c r="U16" i="6"/>
  <c r="U97" i="6" s="1"/>
  <c r="U14" i="6"/>
  <c r="U81" i="6" s="1"/>
  <c r="U12" i="6"/>
  <c r="U48" i="6" s="1"/>
  <c r="U49" i="6" s="1"/>
  <c r="S35" i="6"/>
  <c r="S36" i="6"/>
  <c r="T82" i="6"/>
  <c r="T83" i="6" s="1"/>
  <c r="R54" i="6"/>
  <c r="S50" i="6"/>
  <c r="V6" i="6"/>
  <c r="V11" i="6" s="1"/>
  <c r="T52" i="6" l="1"/>
  <c r="T53" i="6" s="1"/>
  <c r="U52" i="6"/>
  <c r="T37" i="6"/>
  <c r="U61" i="6"/>
  <c r="U32" i="6"/>
  <c r="U33" i="6" s="1"/>
  <c r="U34" i="6" s="1"/>
  <c r="V16" i="6"/>
  <c r="V97" i="6" s="1"/>
  <c r="V14" i="6"/>
  <c r="V81" i="6" s="1"/>
  <c r="V12" i="6"/>
  <c r="V48" i="6" s="1"/>
  <c r="V49" i="6" s="1"/>
  <c r="V15" i="6"/>
  <c r="V91" i="6" s="1"/>
  <c r="V13" i="6"/>
  <c r="V69" i="6" s="1"/>
  <c r="T35" i="6"/>
  <c r="T36" i="6"/>
  <c r="U82" i="6"/>
  <c r="U83" i="6" s="1"/>
  <c r="U51" i="6"/>
  <c r="S38" i="6"/>
  <c r="S39" i="6" s="1"/>
  <c r="S54" i="6"/>
  <c r="T50" i="6"/>
  <c r="W6" i="6"/>
  <c r="W11" i="6" s="1"/>
  <c r="U53" i="6" l="1"/>
  <c r="V52" i="6"/>
  <c r="U37" i="6"/>
  <c r="V61" i="6"/>
  <c r="V32" i="6"/>
  <c r="V33" i="6" s="1"/>
  <c r="V34" i="6" s="1"/>
  <c r="W16" i="6"/>
  <c r="W97" i="6" s="1"/>
  <c r="W14" i="6"/>
  <c r="W81" i="6" s="1"/>
  <c r="W12" i="6"/>
  <c r="W48" i="6" s="1"/>
  <c r="W49" i="6" s="1"/>
  <c r="W15" i="6"/>
  <c r="W91" i="6" s="1"/>
  <c r="W13" i="6"/>
  <c r="W69" i="6" s="1"/>
  <c r="U36" i="6"/>
  <c r="V82" i="6"/>
  <c r="V83" i="6" s="1"/>
  <c r="V51" i="6"/>
  <c r="T38" i="6"/>
  <c r="T39" i="6" s="1"/>
  <c r="U35" i="6"/>
  <c r="T54" i="6"/>
  <c r="U50" i="6"/>
  <c r="X6" i="6"/>
  <c r="X11" i="6" s="1"/>
  <c r="U38" i="6" l="1"/>
  <c r="U39" i="6" s="1"/>
  <c r="V53" i="6"/>
  <c r="W52" i="6"/>
  <c r="V37" i="6"/>
  <c r="W61" i="6"/>
  <c r="W32" i="6"/>
  <c r="W33" i="6" s="1"/>
  <c r="W34" i="6" s="1"/>
  <c r="X12" i="6"/>
  <c r="X48" i="6" s="1"/>
  <c r="X49" i="6" s="1"/>
  <c r="X16" i="6"/>
  <c r="X14" i="6"/>
  <c r="X81" i="6" s="1"/>
  <c r="X15" i="6"/>
  <c r="X91" i="6" s="1"/>
  <c r="X13" i="6"/>
  <c r="X69" i="6" s="1"/>
  <c r="V36" i="6"/>
  <c r="W82" i="6"/>
  <c r="W83" i="6" s="1"/>
  <c r="W51" i="6"/>
  <c r="V35" i="6"/>
  <c r="U54" i="6"/>
  <c r="V50" i="6"/>
  <c r="Y6" i="6"/>
  <c r="Y11" i="6" s="1"/>
  <c r="V38" i="6" l="1"/>
  <c r="V39" i="6" s="1"/>
  <c r="W53" i="6"/>
  <c r="X52" i="6"/>
  <c r="W37" i="6"/>
  <c r="X61" i="6"/>
  <c r="X32" i="6"/>
  <c r="X33" i="6" s="1"/>
  <c r="X34" i="6" s="1"/>
  <c r="Y16" i="6"/>
  <c r="Y97" i="6" s="1"/>
  <c r="Y14" i="6"/>
  <c r="Y81" i="6" s="1"/>
  <c r="Y12" i="6"/>
  <c r="Y48" i="6" s="1"/>
  <c r="Y49" i="6" s="1"/>
  <c r="Y15" i="6"/>
  <c r="Y91" i="6" s="1"/>
  <c r="Y13" i="6"/>
  <c r="Y69" i="6" s="1"/>
  <c r="W36" i="6"/>
  <c r="X82" i="6"/>
  <c r="X83" i="6" s="1"/>
  <c r="X97" i="6"/>
  <c r="X51" i="6"/>
  <c r="W35" i="6"/>
  <c r="V54" i="6"/>
  <c r="W50" i="6"/>
  <c r="Z6" i="6"/>
  <c r="W38" i="6" l="1"/>
  <c r="W39" i="6" s="1"/>
  <c r="AA6" i="6"/>
  <c r="Z11" i="6"/>
  <c r="X53" i="6"/>
  <c r="Y52" i="6"/>
  <c r="X37" i="6"/>
  <c r="Y61" i="6"/>
  <c r="Y32" i="6"/>
  <c r="Y33" i="6" s="1"/>
  <c r="Y34" i="6" s="1"/>
  <c r="Z15" i="6"/>
  <c r="Z91" i="6" s="1"/>
  <c r="Z13" i="6"/>
  <c r="Z69" i="6" s="1"/>
  <c r="Z16" i="6"/>
  <c r="Z97" i="6" s="1"/>
  <c r="Z14" i="6"/>
  <c r="Z81" i="6" s="1"/>
  <c r="Z12" i="6"/>
  <c r="X36" i="6"/>
  <c r="Y82" i="6"/>
  <c r="Y83" i="6" s="1"/>
  <c r="Y51" i="6"/>
  <c r="X35" i="6"/>
  <c r="W54" i="6"/>
  <c r="X50" i="6"/>
  <c r="Z48" i="6" l="1"/>
  <c r="Z51" i="6" s="1"/>
  <c r="AA13" i="6"/>
  <c r="AA69" i="6" s="1"/>
  <c r="AB6" i="6"/>
  <c r="AA14" i="6"/>
  <c r="AA81" i="6" s="1"/>
  <c r="AA11" i="6"/>
  <c r="AA16" i="6"/>
  <c r="AA97" i="6" s="1"/>
  <c r="AA12" i="6"/>
  <c r="AA15" i="6"/>
  <c r="AA91" i="6" s="1"/>
  <c r="Y53" i="6"/>
  <c r="Y37" i="6"/>
  <c r="X38" i="6"/>
  <c r="X39" i="6" s="1"/>
  <c r="Z61" i="6"/>
  <c r="Z32" i="6"/>
  <c r="Y36" i="6"/>
  <c r="Z82" i="6"/>
  <c r="Y35" i="6"/>
  <c r="X54" i="6"/>
  <c r="Y50" i="6"/>
  <c r="Z49" i="6" l="1"/>
  <c r="Z50" i="6" s="1"/>
  <c r="Z52" i="6"/>
  <c r="Z53" i="6" s="1"/>
  <c r="AA48" i="6"/>
  <c r="AA61" i="6"/>
  <c r="AA82" i="6"/>
  <c r="AA83" i="6" s="1"/>
  <c r="AA32" i="6"/>
  <c r="AA33" i="6" s="1"/>
  <c r="AB13" i="6"/>
  <c r="AB69" i="6" s="1"/>
  <c r="AC6" i="6"/>
  <c r="AB11" i="6"/>
  <c r="AB12" i="6"/>
  <c r="AB15" i="6"/>
  <c r="AB91" i="6" s="1"/>
  <c r="AB14" i="6"/>
  <c r="AB81" i="6" s="1"/>
  <c r="AB16" i="6"/>
  <c r="AB97" i="6" s="1"/>
  <c r="Y38" i="6"/>
  <c r="Y39" i="6" s="1"/>
  <c r="Z33" i="6"/>
  <c r="D32" i="6"/>
  <c r="Z83" i="6"/>
  <c r="Y54" i="6"/>
  <c r="AA34" i="6" l="1"/>
  <c r="AA35" i="6" s="1"/>
  <c r="Z36" i="6"/>
  <c r="Z34" i="6"/>
  <c r="AA36" i="6"/>
  <c r="AA37" i="6"/>
  <c r="AB48" i="6"/>
  <c r="AA51" i="6"/>
  <c r="AA52" i="6"/>
  <c r="AA49" i="6"/>
  <c r="AA50" i="6" s="1"/>
  <c r="AB61" i="6"/>
  <c r="AB82" i="6"/>
  <c r="AB32" i="6"/>
  <c r="AB33" i="6" s="1"/>
  <c r="AB34" i="6" s="1"/>
  <c r="AB35" i="6" s="1"/>
  <c r="AC16" i="6"/>
  <c r="AC97" i="6" s="1"/>
  <c r="C97" i="6" s="1"/>
  <c r="C57" i="11" s="1"/>
  <c r="AC11" i="6"/>
  <c r="AC15" i="6"/>
  <c r="AC91" i="6" s="1"/>
  <c r="AC14" i="6"/>
  <c r="AC81" i="6" s="1"/>
  <c r="D81" i="6" s="1"/>
  <c r="AC13" i="6"/>
  <c r="AC69" i="6" s="1"/>
  <c r="C69" i="6" s="1"/>
  <c r="C48" i="11" s="1"/>
  <c r="AC12" i="6"/>
  <c r="Z35" i="6"/>
  <c r="Z37" i="6"/>
  <c r="D33" i="6"/>
  <c r="C16" i="11"/>
  <c r="Z54" i="6"/>
  <c r="Z38" i="6" l="1"/>
  <c r="C17" i="11"/>
  <c r="AC48" i="6"/>
  <c r="AC52" i="6" s="1"/>
  <c r="AB36" i="6"/>
  <c r="AB37" i="6"/>
  <c r="AB49" i="6"/>
  <c r="AB50" i="6" s="1"/>
  <c r="AB51" i="6"/>
  <c r="AB52" i="6"/>
  <c r="AB83" i="6"/>
  <c r="AA38" i="6"/>
  <c r="AA39" i="6" s="1"/>
  <c r="AC61" i="6"/>
  <c r="AC82" i="6"/>
  <c r="AC83" i="6" s="1"/>
  <c r="AC32" i="6"/>
  <c r="AC33" i="6" s="1"/>
  <c r="AC34" i="6" s="1"/>
  <c r="AC35" i="6" s="1"/>
  <c r="C35" i="6" s="1"/>
  <c r="C10" i="11" s="1"/>
  <c r="D19" i="6"/>
  <c r="C33" i="11" s="1"/>
  <c r="D18" i="6"/>
  <c r="C43" i="11" s="1"/>
  <c r="D48" i="6"/>
  <c r="C34" i="11" s="1"/>
  <c r="AA53" i="6"/>
  <c r="D38" i="6" l="1"/>
  <c r="C22" i="11" s="1"/>
  <c r="Z39" i="6"/>
  <c r="AC51" i="6"/>
  <c r="AC53" i="6" s="1"/>
  <c r="AC49" i="6"/>
  <c r="AC50" i="6" s="1"/>
  <c r="AB53" i="6"/>
  <c r="AB54" i="6" s="1"/>
  <c r="C61" i="6"/>
  <c r="C40" i="11" s="1"/>
  <c r="C83" i="6"/>
  <c r="C51" i="11" s="1"/>
  <c r="D82" i="6"/>
  <c r="C35" i="11"/>
  <c r="D53" i="6"/>
  <c r="C37" i="11" s="1"/>
  <c r="AA54" i="6"/>
  <c r="C18" i="11"/>
  <c r="C19" i="11"/>
  <c r="C20" i="11"/>
  <c r="AC37" i="6"/>
  <c r="AC36" i="6"/>
  <c r="AB38" i="6"/>
  <c r="AB39" i="6" s="1"/>
  <c r="M50" i="6"/>
  <c r="AC54" i="6" l="1"/>
  <c r="C53" i="6"/>
  <c r="C28" i="11" s="1"/>
  <c r="AC38" i="6"/>
  <c r="AC39" i="6" s="1"/>
  <c r="D39" i="6" s="1"/>
  <c r="M54" i="6"/>
  <c r="L50" i="6"/>
  <c r="N50" i="6"/>
  <c r="O50" i="6"/>
  <c r="C38" i="6" l="1"/>
  <c r="C50" i="6"/>
  <c r="O54" i="6"/>
  <c r="N54" i="6"/>
  <c r="C11" i="11" l="1"/>
  <c r="C13" i="11" s="1"/>
  <c r="L54" i="6"/>
  <c r="D54" i="6" s="1"/>
  <c r="C27" i="11"/>
  <c r="C30" i="11" s="1"/>
  <c r="E21" i="12" l="1"/>
  <c r="E20" i="12"/>
  <c r="C20" i="12" l="1"/>
  <c r="O62" i="8" l="1"/>
  <c r="D88" i="6"/>
  <c r="N62" i="8"/>
  <c r="F62" i="8"/>
  <c r="Q62" i="8" s="1"/>
  <c r="I91" i="6" l="1"/>
  <c r="J91" i="6"/>
  <c r="C91" i="6" l="1"/>
  <c r="C99" i="6" l="1"/>
  <c r="C54" i="11"/>
  <c r="C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DW</author>
  </authors>
  <commentList>
    <comment ref="F3" authorId="0" shapeId="0" xr:uid="{00000000-0006-0000-0100-000001000000}">
      <text>
        <r>
          <rPr>
            <sz val="9"/>
            <color indexed="81"/>
            <rFont val="Tahoma"/>
            <family val="2"/>
          </rPr>
          <t>Grey cells indicate those that are changed from the base case. This scenario produces a net benefit of 0</t>
        </r>
      </text>
    </comment>
    <comment ref="D11" authorId="0" shapeId="0" xr:uid="{BD2C8BC7-5BAD-47CC-96AA-91513861E62F}">
      <text>
        <r>
          <rPr>
            <sz val="9"/>
            <color indexed="81"/>
            <rFont val="Tahoma"/>
            <family val="2"/>
          </rPr>
          <t>From EMI, TP 36 26th June 2018</t>
        </r>
      </text>
    </comment>
    <comment ref="D12" authorId="0" shapeId="0" xr:uid="{7D1A2D5F-4D42-4E4C-B800-EB2785FD0FD4}">
      <text>
        <r>
          <rPr>
            <sz val="9"/>
            <color indexed="81"/>
            <rFont val="Tahoma"/>
            <family val="2"/>
          </rPr>
          <t xml:space="preserve">We use reported numbers from annual reports where available, estimates when not, and cross reference to EMI numbers (Shown in ())
Annual/interim report figures:
Genesis = 440k - interim report Dec2017  (449k)
Meridian (inc powershop) = 189k - Interim report Dec 2017 (219k)
Estimated: 
Mercury: 117/0.41 = 285k. (302k)This is reported number of residential on contract / proportion of customers on contract. (73%)
Contact: Has electricity as portion of total and residential as portion of total. Assuming constant shares = 493/570*417/570*570 = 361k (353k)
Trustpower = 271k from annual report times typical residential/business split = 271*0.86 = 233k (230k)
From EMI:
NOVA = 59k
Pulse = 72k
Ekiwi = 31k
Flick = 23k
Other = 34k
Total = 1.8k
</t>
        </r>
      </text>
    </comment>
    <comment ref="D23" authorId="0" shapeId="0" xr:uid="{5CD220CE-B626-4C8B-89B2-B6530785CB18}">
      <text>
        <r>
          <rPr>
            <sz val="9"/>
            <color indexed="81"/>
            <rFont val="Tahoma"/>
            <family val="2"/>
          </rPr>
          <t>Not updated for 2018 dollars</t>
        </r>
      </text>
    </comment>
    <comment ref="D26" authorId="0" shapeId="0" xr:uid="{9D1C0A9B-CFCC-48A1-A253-2FEFAEFF379F}">
      <text>
        <r>
          <rPr>
            <sz val="9"/>
            <color indexed="81"/>
            <rFont val="Tahoma"/>
            <family val="2"/>
          </rPr>
          <t>Not updated for 2018 dollars</t>
        </r>
      </text>
    </comment>
    <comment ref="D27" authorId="0" shapeId="0" xr:uid="{390F13BD-953F-4F63-8C54-46D8F4431F3D}">
      <text>
        <r>
          <rPr>
            <sz val="9"/>
            <color indexed="81"/>
            <rFont val="Tahoma"/>
            <family val="2"/>
          </rPr>
          <t>Not updated for 2018 dollars</t>
        </r>
      </text>
    </comment>
    <comment ref="D32" authorId="0" shapeId="0" xr:uid="{A9B188EB-76DF-4723-B9E4-8F91D1079B5C}">
      <text>
        <r>
          <rPr>
            <sz val="9"/>
            <color indexed="81"/>
            <rFont val="Tahoma"/>
            <family val="2"/>
          </rPr>
          <t>Compare with values found in: http://www.sciencedirect.com/science/article/pii/S0301421516306450</t>
        </r>
      </text>
    </comment>
    <comment ref="D36" authorId="0" shapeId="0" xr:uid="{A8DF5514-A686-4CA7-A561-E009550B7A55}">
      <text>
        <r>
          <rPr>
            <sz val="9"/>
            <color indexed="81"/>
            <rFont val="Tahoma"/>
            <family val="2"/>
          </rPr>
          <t>Not updated for 2018 dollars</t>
        </r>
      </text>
    </comment>
    <comment ref="D44" authorId="0" shapeId="0" xr:uid="{FDB397E4-235A-4B1D-876F-D10D59BFB7AF}">
      <text>
        <r>
          <rPr>
            <sz val="9"/>
            <color indexed="81"/>
            <rFont val="Tahoma"/>
            <family val="2"/>
          </rPr>
          <t>Advice from SO in email on 21 Nov 2018 - Updated from TASC 60</t>
        </r>
      </text>
    </comment>
    <comment ref="D45" authorId="0" shapeId="0" xr:uid="{643F8868-FCC8-4EE1-8E77-82F462BEC579}">
      <text>
        <r>
          <rPr>
            <sz val="9"/>
            <color indexed="81"/>
            <rFont val="Tahoma"/>
            <family val="2"/>
          </rPr>
          <t>Advice from SO in email on 16 Nov 2018 - Updated from TASC 60</t>
        </r>
      </text>
    </comment>
    <comment ref="D46" authorId="0" shapeId="0" xr:uid="{A90DE336-54D9-47F3-ADF4-DFB59B1486B9}">
      <text>
        <r>
          <rPr>
            <sz val="9"/>
            <color indexed="81"/>
            <rFont val="Tahoma"/>
            <family val="2"/>
          </rPr>
          <t>Advice from SO in email on 16 Nov 2018 - Updated from TASC 60</t>
        </r>
      </text>
    </comment>
    <comment ref="D47" authorId="0" shapeId="0" xr:uid="{41E348D6-D095-408D-AF5A-D2EC0C348A32}">
      <text>
        <r>
          <rPr>
            <sz val="9"/>
            <color indexed="81"/>
            <rFont val="Tahoma"/>
            <family val="2"/>
          </rPr>
          <t>Advice from SO in email on 16 Nov 2018 - Updated from TASC 60</t>
        </r>
      </text>
    </comment>
    <comment ref="D51" authorId="0" shapeId="0" xr:uid="{50D27702-065A-45B1-8209-0B487ECCBDBF}">
      <text>
        <r>
          <rPr>
            <sz val="9"/>
            <color indexed="81"/>
            <rFont val="Tahoma"/>
            <family val="2"/>
          </rPr>
          <t>From current MSOP contract - escalated for CPI to Q32018</t>
        </r>
      </text>
    </comment>
    <comment ref="D52" authorId="0" shapeId="0" xr:uid="{8E072575-16B7-4D6C-AD9B-87F6E0ABDAC6}">
      <text>
        <r>
          <rPr>
            <sz val="9"/>
            <color indexed="81"/>
            <rFont val="Tahoma"/>
            <family val="2"/>
          </rPr>
          <t>From current MSOP contract - escalated for CPI to Q32018</t>
        </r>
      </text>
    </comment>
    <comment ref="D53" authorId="0" shapeId="0" xr:uid="{B45F2C56-6ADB-4FB8-8357-7A95B3F6BFC3}">
      <text>
        <r>
          <rPr>
            <sz val="9"/>
            <color indexed="81"/>
            <rFont val="Tahoma"/>
            <family val="2"/>
          </rPr>
          <t>From current MSOP contract - escalated for CPI to Q32018</t>
        </r>
      </text>
    </comment>
    <comment ref="D55" authorId="0" shapeId="0" xr:uid="{D3760AED-041E-4133-91BF-B9BEE9BC7E09}">
      <text>
        <r>
          <rPr>
            <sz val="9"/>
            <color indexed="81"/>
            <rFont val="Tahoma"/>
            <family val="2"/>
          </rPr>
          <t>NZX/WITS estimate from later from Steve Torrns dated 20 October 2017.
Subject to dispute with EA</t>
        </r>
      </text>
    </comment>
    <comment ref="D57" authorId="0" shapeId="0" xr:uid="{CFC85627-38BD-4591-9FCB-C8FE57E184F4}">
      <text>
        <r>
          <rPr>
            <sz val="9"/>
            <color indexed="81"/>
            <rFont val="Tahoma"/>
            <family val="2"/>
          </rPr>
          <t>EA email 9 June 2017</t>
        </r>
      </text>
    </comment>
    <comment ref="D61" authorId="0" shapeId="0" xr:uid="{ECAFC6B7-8CB5-4756-88F6-BD665E3BA564}">
      <text>
        <r>
          <rPr>
            <sz val="9"/>
            <color indexed="81"/>
            <rFont val="Tahoma"/>
            <family val="2"/>
          </rPr>
          <t>Reference for this?</t>
        </r>
      </text>
    </comment>
    <comment ref="D62" authorId="0" shapeId="0" xr:uid="{225DCBFD-BFA3-4984-B155-A4A62C7ABA68}">
      <text>
        <r>
          <rPr>
            <sz val="9"/>
            <color indexed="81"/>
            <rFont val="Tahoma"/>
            <family val="2"/>
          </rPr>
          <t>NZX/WITS estimate from later from Steve Torrns dated 20 October 2017</t>
        </r>
      </text>
    </comment>
    <comment ref="D63" authorId="0" shapeId="0" xr:uid="{FB48C0CB-558F-4993-9F85-8616A1C78ACE}">
      <text>
        <r>
          <rPr>
            <sz val="9"/>
            <color indexed="81"/>
            <rFont val="Tahoma"/>
            <family val="2"/>
          </rPr>
          <t>NZX/WITS estimate from later from Steve Torrns dated 20 October 2017</t>
        </r>
      </text>
    </comment>
    <comment ref="C67" authorId="0" shapeId="0" xr:uid="{E53540FA-EA31-435E-960E-FBF60E1144C6}">
      <text>
        <r>
          <rPr>
            <sz val="9"/>
            <color indexed="81"/>
            <rFont val="Tahoma"/>
            <family val="2"/>
          </rPr>
          <t>14 dispatch participants figure provided by SO in email 19 Nov 2018. Estimated cost of 390k based on feedback from Meridian.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DW</author>
  </authors>
  <commentList>
    <comment ref="I18" authorId="0" shapeId="0" xr:uid="{0F49FF15-AFAF-41C6-A1CB-2DA1E48DDDDA}">
      <text>
        <r>
          <rPr>
            <sz val="9"/>
            <color indexed="81"/>
            <rFont val="Tahoma"/>
            <family val="2"/>
          </rPr>
          <t>This is the base value, that subsequent cells are escalated from. Different formula</t>
        </r>
      </text>
    </comment>
    <comment ref="I19" authorId="0" shapeId="0" xr:uid="{E8E38841-5A92-4E2A-A2D9-ABEC96A407C4}">
      <text>
        <r>
          <rPr>
            <sz val="9"/>
            <color indexed="81"/>
            <rFont val="Tahoma"/>
            <family val="2"/>
          </rPr>
          <t>This is the base value, that subsequent cells are escalated from. Different formula</t>
        </r>
      </text>
    </comment>
    <comment ref="H32" authorId="0" shapeId="0" xr:uid="{00000000-0006-0000-0200-000004000000}">
      <text>
        <r>
          <rPr>
            <sz val="9"/>
            <color indexed="81"/>
            <rFont val="Tahoma"/>
            <family val="2"/>
          </rPr>
          <t>Zero until the program starts, otherwise the amount of DR and DG response, scaled up with peak demand growth</t>
        </r>
      </text>
    </comment>
    <comment ref="H34" authorId="0" shapeId="0" xr:uid="{00000000-0006-0000-0200-000005000000}">
      <text>
        <r>
          <rPr>
            <sz val="9"/>
            <color indexed="81"/>
            <rFont val="Tahoma"/>
            <family val="2"/>
          </rPr>
          <t>Only the incremental reduction counts.</t>
        </r>
      </text>
    </comment>
    <comment ref="H48" authorId="0" shapeId="0" xr:uid="{00000000-0006-0000-0200-000006000000}">
      <text>
        <r>
          <rPr>
            <sz val="9"/>
            <color indexed="81"/>
            <rFont val="Tahoma"/>
            <family val="2"/>
          </rPr>
          <t>zero until the program is implemented, otherwise a proportion of residential demand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DW</author>
  </authors>
  <commentList>
    <comment ref="A13" authorId="0" shapeId="0" xr:uid="{00000000-0006-0000-0300-000001000000}">
      <text>
        <r>
          <rPr>
            <sz val="9"/>
            <color indexed="81"/>
            <rFont val="Tahoma"/>
            <family val="2"/>
          </rPr>
          <t>Note that this isn't discounted, because the timing calculations tab handles discounting</t>
        </r>
      </text>
    </comment>
  </commentList>
</comments>
</file>

<file path=xl/sharedStrings.xml><?xml version="1.0" encoding="utf-8"?>
<sst xmlns="http://schemas.openxmlformats.org/spreadsheetml/2006/main" count="449" uniqueCount="237">
  <si>
    <t>MW</t>
  </si>
  <si>
    <t>%</t>
  </si>
  <si>
    <t>Years</t>
  </si>
  <si>
    <t>Discount rate</t>
  </si>
  <si>
    <t>$/MWh</t>
  </si>
  <si>
    <t>Hours per year</t>
  </si>
  <si>
    <t>Comments</t>
  </si>
  <si>
    <t>Global assumptions</t>
  </si>
  <si>
    <t>Base case</t>
  </si>
  <si>
    <t>Evaluation period</t>
  </si>
  <si>
    <t>Peak demand level</t>
  </si>
  <si>
    <t>Residential peak demand</t>
  </si>
  <si>
    <t>Authority guidelines</t>
  </si>
  <si>
    <t>Reduction in residential peak load enabled by improved price information</t>
  </si>
  <si>
    <t>Reduction in peaking generation requirement</t>
  </si>
  <si>
    <t>Hr/yr</t>
  </si>
  <si>
    <t>Lower case</t>
  </si>
  <si>
    <t>Higher case</t>
  </si>
  <si>
    <t>Participant costs</t>
  </si>
  <si>
    <t>Modelled as impact of system being above or below efficient capacity level</t>
  </si>
  <si>
    <t>Difference as % of peak demand</t>
  </si>
  <si>
    <t>Reliability benefit</t>
  </si>
  <si>
    <t>Loss per year from having excess or insufficient capacity relative to optimum</t>
  </si>
  <si>
    <t>Saving of capex in peaking plant</t>
  </si>
  <si>
    <t>Item $m (present value)</t>
  </si>
  <si>
    <t>Load that could respond to spot prices</t>
  </si>
  <si>
    <t>WAG paper estimated at $1.5M/MW but adjusted for new information</t>
  </si>
  <si>
    <t>Time to implement</t>
  </si>
  <si>
    <t>Peak demand growth</t>
  </si>
  <si>
    <t>Residential peak demand growth</t>
  </si>
  <si>
    <t>%/pa</t>
  </si>
  <si>
    <t>WAG paper estimated up to 400MW available based on larger users on distribution networks. Took average after growing peak over evaluation period</t>
  </si>
  <si>
    <t>Based on system operator assessment in ROM</t>
  </si>
  <si>
    <t>Extra proportion that will respond if RTP option is implemented</t>
  </si>
  <si>
    <t>Adopt same as average - but note that residential has historically been more peaky, though new technologies may alter this</t>
  </si>
  <si>
    <t>Lower</t>
  </si>
  <si>
    <t>Higher</t>
  </si>
  <si>
    <t>Year</t>
  </si>
  <si>
    <t>Existing &amp; latent DR 2015</t>
  </si>
  <si>
    <t>Existing &amp; latent DG 2015</t>
  </si>
  <si>
    <t>Present value of demand response benefits and costs</t>
  </si>
  <si>
    <t>Costs</t>
  </si>
  <si>
    <t>System operation function</t>
  </si>
  <si>
    <t>Net benefits/(costs)</t>
  </si>
  <si>
    <t>* Excludes some benefits that have not be quantified</t>
  </si>
  <si>
    <t>RTP based on dispatch prices</t>
  </si>
  <si>
    <t>Proportion of peaking generation required to substitute for deterred DR and DG</t>
  </si>
  <si>
    <t>http://www.synapse-energy.com/sites/default/files/SynapseReport.2013-03.RAP_.US-Demand-Response.12-080.pdf
Lots of good diagrams/resources in here from US markets. Figure ES4 suggests slightly more than 1% (2007). Figure 5 shows 2003 numbers, and they're 1-6% for different regions. Table 1 has values from 2-10% (2009-10). FIgure 6 shows growth in response as market develops - seems most relevant</t>
  </si>
  <si>
    <t>Pricing manager function (net saving)</t>
  </si>
  <si>
    <t>Potential residential load responding to Price</t>
  </si>
  <si>
    <t>Non-residential peak demand 2015</t>
  </si>
  <si>
    <t>Increased amount from RTP</t>
  </si>
  <si>
    <t>Net</t>
  </si>
  <si>
    <t>Incremental</t>
  </si>
  <si>
    <t>Incremental reduction</t>
  </si>
  <si>
    <t>Load that could respond as % of peak demand</t>
  </si>
  <si>
    <t>Load that is assumed to respond as % of peak demand</t>
  </si>
  <si>
    <t>Load that is assumed to respond as % of non-residential peak demand</t>
  </si>
  <si>
    <t>Implied assumptions</t>
  </si>
  <si>
    <t>System Operator market system changes</t>
  </si>
  <si>
    <t>Within period bids and offers revision</t>
  </si>
  <si>
    <t>Use of Ion meters</t>
  </si>
  <si>
    <t>Infrastructure</t>
  </si>
  <si>
    <t>System</t>
  </si>
  <si>
    <t>Services</t>
  </si>
  <si>
    <t>Benefit = positive</t>
  </si>
  <si>
    <t>Total (negative is a cost)</t>
  </si>
  <si>
    <t>Units</t>
  </si>
  <si>
    <t>$m/MW</t>
  </si>
  <si>
    <t>$m/yr</t>
  </si>
  <si>
    <t>$m</t>
  </si>
  <si>
    <t>Percentage of residential load that could respond to Price</t>
  </si>
  <si>
    <t>Avoided capital cost of inefficient peaking generation</t>
  </si>
  <si>
    <t>Average capacity factor of DR operation</t>
  </si>
  <si>
    <t>Average cost per year of DR operation</t>
  </si>
  <si>
    <t>Which is x% of total residential demand</t>
  </si>
  <si>
    <t>The 'heavy lifting' calculations are done on the timing calculations sheet.</t>
  </si>
  <si>
    <t>Start Year</t>
  </si>
  <si>
    <t>Modelled as capex saving from reduction in peaking plant, minus incremental cost of additional DR operation</t>
  </si>
  <si>
    <t>Reduced peaking gen required as a result of increased DR/DG operation</t>
  </si>
  <si>
    <t>WITS implementation costs</t>
  </si>
  <si>
    <t>SPD savings</t>
  </si>
  <si>
    <t>Termination cost for existing MSOP contract</t>
  </si>
  <si>
    <t>Clearing manager implementation costs</t>
  </si>
  <si>
    <t>FTR manager implementation costs</t>
  </si>
  <si>
    <t>Increase in ongoing MOSP costs</t>
  </si>
  <si>
    <t>Implementation Costs</t>
  </si>
  <si>
    <t>Years until benefits first accrue after implementation</t>
  </si>
  <si>
    <t>Cost b) - costs and savings from changes to MSOP contract</t>
  </si>
  <si>
    <t>Cost c) - clearing manager implementation costs</t>
  </si>
  <si>
    <t>Cost a) - system operator implementation costs</t>
  </si>
  <si>
    <t>Additional SO costs for performing some pricing manager duties</t>
  </si>
  <si>
    <t>Cost d) - participant costs</t>
  </si>
  <si>
    <t>Cost assumptions</t>
  </si>
  <si>
    <t>Total</t>
  </si>
  <si>
    <t xml:space="preserve"> This sheet summarizes results from that sheet and does some simple calculations</t>
  </si>
  <si>
    <t>It also extracts some 'implied assumptions' that may be reported, but which do not affect results</t>
  </si>
  <si>
    <t>Notes</t>
  </si>
  <si>
    <t>FTR manage estimate</t>
  </si>
  <si>
    <t>Estimate of 1/4 FTE</t>
  </si>
  <si>
    <t>No change as party will change but operation will remain</t>
  </si>
  <si>
    <t>From observed peaking behaviour</t>
  </si>
  <si>
    <t>Residential response is expected to be slower than industrial response as incentives are lower on a party basis</t>
  </si>
  <si>
    <t>A one-to-one relationship for the base case</t>
  </si>
  <si>
    <t>Scenario Lookup</t>
  </si>
  <si>
    <t>Total of all SO costs</t>
  </si>
  <si>
    <t>Incurred how many years after decision to proceed</t>
  </si>
  <si>
    <t>Decision Year</t>
  </si>
  <si>
    <t>Termination cost</t>
  </si>
  <si>
    <t>Total of all costs</t>
  </si>
  <si>
    <t>All costs/benefits</t>
  </si>
  <si>
    <t>Assumes costs incurred at start of the second year</t>
  </si>
  <si>
    <t>Assumes costs incurred at start of the fourth year</t>
  </si>
  <si>
    <t>See Appendix to RTP paper</t>
  </si>
  <si>
    <t>Benefit a) - additional industrial response</t>
  </si>
  <si>
    <t>Benefit b) - additional residential response</t>
  </si>
  <si>
    <t>Benefit c) - additional efficiency</t>
  </si>
  <si>
    <t>Residential response benefit</t>
  </si>
  <si>
    <t>Annual benefit of improving capacity relative to optimum</t>
  </si>
  <si>
    <t>Timing flags</t>
  </si>
  <si>
    <t>System operator cost?</t>
  </si>
  <si>
    <t>MSOP contract cost?</t>
  </si>
  <si>
    <t>Clearing manager cost?</t>
  </si>
  <si>
    <t>Participant cost?</t>
  </si>
  <si>
    <t>Residential benefits accruing?</t>
  </si>
  <si>
    <t>Available DG and DR response</t>
  </si>
  <si>
    <t>Total reduced peaking generation required due to RTP</t>
  </si>
  <si>
    <t>Capacity reduction is worth ($m)</t>
  </si>
  <si>
    <t>Reduction in fuel costs</t>
  </si>
  <si>
    <t>Increase in DR costs</t>
  </si>
  <si>
    <t>SRMC of peaker operation</t>
  </si>
  <si>
    <t>Discounting years</t>
  </si>
  <si>
    <t>Discount scalor</t>
  </si>
  <si>
    <t>Assumptions</t>
  </si>
  <si>
    <t>Cost of new peaking gen and associated network $m/MW</t>
  </si>
  <si>
    <t>SRMC cost effect</t>
  </si>
  <si>
    <t>Residential DR operation cost</t>
  </si>
  <si>
    <t>Industrial DR operation cost</t>
  </si>
  <si>
    <t>End of MSOP contract - Infrastructure</t>
  </si>
  <si>
    <t>End of MSOP contract - Systems</t>
  </si>
  <si>
    <t>End of MSOP contract - Services</t>
  </si>
  <si>
    <t>End of MSOP contract - SPD</t>
  </si>
  <si>
    <t>Changes to ongoing MSOP costs</t>
  </si>
  <si>
    <t>Net Benefit</t>
  </si>
  <si>
    <t>These cells are copy and pasted from the left - they do not update automatically</t>
  </si>
  <si>
    <t>Additional info / Averages</t>
  </si>
  <si>
    <t>Increase in SRMC (incremental cost of DR vs peaker SRMC savings)</t>
  </si>
  <si>
    <t>Deviation from optimal</t>
  </si>
  <si>
    <t>Benefits</t>
  </si>
  <si>
    <t>Implementation and administration costs</t>
  </si>
  <si>
    <t>Benefits from DR operation and reliability</t>
  </si>
  <si>
    <t>Industrial response operational incremental cost</t>
  </si>
  <si>
    <t>Residential response operational incremental cost</t>
  </si>
  <si>
    <t>Difference between current and "RTP" level of efficient capacity</t>
  </si>
  <si>
    <t>Midpoint or end of year discounting</t>
  </si>
  <si>
    <t>End</t>
  </si>
  <si>
    <t>BCR</t>
  </si>
  <si>
    <t>From timing calcs Tab</t>
  </si>
  <si>
    <t>Present value of additional residential response benefits and costs</t>
  </si>
  <si>
    <t>Residual of other 2 demand numbers</t>
  </si>
  <si>
    <t>Demand response costs</t>
  </si>
  <si>
    <t>This spreadsheet sets out the calculations for the cost benefit analysis of real time pricing.</t>
  </si>
  <si>
    <t>It should be read in conjunction with the appendix to the consultation paper, which describes the CBA and key assumptions.</t>
  </si>
  <si>
    <t>The other tabs in the spreadsheet are:</t>
  </si>
  <si>
    <t>Overview</t>
  </si>
  <si>
    <t>Select which case to consider in lookup function below</t>
  </si>
  <si>
    <r>
      <rPr>
        <b/>
        <sz val="11"/>
        <color theme="1"/>
        <rFont val="Calibri"/>
        <family val="2"/>
        <scheme val="minor"/>
      </rPr>
      <t>Assumptions</t>
    </r>
    <r>
      <rPr>
        <sz val="11"/>
        <color theme="1"/>
        <rFont val="Calibri"/>
        <family val="2"/>
        <scheme val="minor"/>
      </rPr>
      <t xml:space="preserve"> - this sets out the key inputs for the CBA and discusses the sources for assumptions. Note that three composite scenarios are considered (lower case, base case, upper case).</t>
    </r>
  </si>
  <si>
    <r>
      <rPr>
        <b/>
        <sz val="11"/>
        <color theme="1"/>
        <rFont val="Calibri"/>
        <family val="2"/>
        <scheme val="minor"/>
      </rPr>
      <t>Timing calculations</t>
    </r>
    <r>
      <rPr>
        <sz val="11"/>
        <color theme="1"/>
        <rFont val="Calibri"/>
        <family val="2"/>
        <scheme val="minor"/>
      </rPr>
      <t xml:space="preserve"> - this sets out the time profile of estimated benefits and costs - note that the user needs to select a scenario (lower, base, higher) using the lookup function. </t>
    </r>
  </si>
  <si>
    <r>
      <rPr>
        <b/>
        <sz val="11"/>
        <color theme="1"/>
        <rFont val="Calibri"/>
        <family val="2"/>
        <scheme val="minor"/>
      </rPr>
      <t>Detailed results</t>
    </r>
    <r>
      <rPr>
        <sz val="11"/>
        <color theme="1"/>
        <rFont val="Calibri"/>
        <family val="2"/>
        <scheme val="minor"/>
      </rPr>
      <t xml:space="preserve"> - this calculates results for the scenario selected in the 'timing calculations' tab. These are pasted as values in columns E-G (for the three different scenarios).</t>
    </r>
  </si>
  <si>
    <r>
      <rPr>
        <b/>
        <sz val="11"/>
        <color theme="1"/>
        <rFont val="Calibri"/>
        <family val="2"/>
        <scheme val="minor"/>
      </rPr>
      <t>Results table</t>
    </r>
    <r>
      <rPr>
        <sz val="11"/>
        <color theme="1"/>
        <rFont val="Calibri"/>
        <family val="2"/>
        <scheme val="minor"/>
      </rPr>
      <t xml:space="preserve"> - this sheet shows the results in the form published in the consultation paper. It uses the information in the 'Detailed results' tab.</t>
    </r>
  </si>
  <si>
    <t>Percentage of residential load that could respond to price</t>
  </si>
  <si>
    <t>Cost of generation</t>
  </si>
  <si>
    <t>WAG paper implicitly assumed variable cost for DR equivalent to variable cost of peaker - instead assume DR cost is greater by $250/MWh, i.e. DR around $550/MWh on average. This is consistent with other published estimates, such as operational review of transmission pricing methodology (see https://www.ea.govt.nz/development/work-programme/pricing-cost-allocation/transpower-tpm-operational-review)</t>
  </si>
  <si>
    <t>Industrial and commercial response benefit</t>
  </si>
  <si>
    <t>Total demand response costs</t>
  </si>
  <si>
    <t xml:space="preserve">Cost of increased DR operation </t>
  </si>
  <si>
    <t>Break Even</t>
  </si>
  <si>
    <t>Loss per year</t>
  </si>
  <si>
    <t>2.2 kW contribution at peak, x no of ICPs</t>
  </si>
  <si>
    <t>August 2017 paper</t>
  </si>
  <si>
    <t>Difference</t>
  </si>
  <si>
    <t>SO costs for dispatch-lite</t>
  </si>
  <si>
    <t>Approximate interpolation between $1m (50MW) and $5m (100MW) recognising that it is non-linear, www.ea.govt.nz/dmsdocument/13936</t>
  </si>
  <si>
    <t>August 2017 Paper</t>
  </si>
  <si>
    <t>Differences</t>
  </si>
  <si>
    <t>* Excludes some benefits that have not been quantified</t>
  </si>
  <si>
    <t>CPI All Groups for New Zealand (Qrtly-Mar/Jun/Sep/Dec)</t>
  </si>
  <si>
    <t xml:space="preserve"> </t>
  </si>
  <si>
    <t>All groups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</si>
  <si>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</si>
  <si>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</si>
  <si>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</si>
  <si>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</si>
  <si>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</si>
  <si>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</si>
  <si>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</si>
  <si>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</si>
  <si>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</si>
  <si>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</si>
  <si>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</si>
  <si>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</si>
  <si>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</si>
  <si>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</si>
  <si>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</si>
  <si>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</si>
  <si>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</si>
  <si>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</si>
  <si>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</si>
  <si>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</si>
  <si>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</si>
  <si>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</si>
  <si>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</si>
  <si>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</si>
  <si>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</si>
  <si>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</si>
  <si>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</si>
  <si>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</si>
  <si>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</si>
  <si>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</si>
  <si>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</si>
  <si>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</si>
  <si>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</si>
  <si>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</si>
  <si>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&lt;-Base period for NZX indexation of PM contract</t>
  </si>
  <si>
    <t>&lt;-Current period - estimated escalation for purposes of CBA</t>
  </si>
  <si>
    <t>Revised</t>
  </si>
  <si>
    <t>Reconciled demand peak 2018</t>
  </si>
  <si>
    <t>Advice from SO</t>
  </si>
  <si>
    <t>NZX estimate</t>
  </si>
  <si>
    <t>From current MSOP contract</t>
  </si>
  <si>
    <t>Project started and benefits considered?</t>
  </si>
  <si>
    <r>
      <rPr>
        <b/>
        <sz val="11"/>
        <color theme="1"/>
        <rFont val="Calibri"/>
        <family val="2"/>
      </rPr>
      <t xml:space="preserve">CPI </t>
    </r>
    <r>
      <rPr>
        <sz val="11"/>
        <color theme="1"/>
        <rFont val="Calibri"/>
        <family val="2"/>
        <scheme val="minor"/>
      </rPr>
      <t>- adjusts somes figures from earlier years into 2018 dollars</t>
    </r>
  </si>
  <si>
    <t>Pricing manager function</t>
  </si>
  <si>
    <t>Peak demand level 2018</t>
  </si>
  <si>
    <t>Residential peak demand 2018</t>
  </si>
  <si>
    <t>See Appendix to RTP paper. The uncertainty re these assumptions is recognised - and for this reason there is also a 'break-even' sensitivity case (discussed later in the appendix)</t>
  </si>
  <si>
    <t>Transpower, Transmission Planning Report 2017, inferred from Figure 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</si>
</sst>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"/>
    <numFmt numFmtId="168" formatCode="_-* #,##0_-;\-* #,##0_-;_-* &quot;-&quot;??_-;_-@_-"/>
    <numFmt numFmtId="169" formatCode="0.0%"/>
    <numFmt numFmtId="170" formatCode="_-* #,##0.0_-;\-* #,##0.0_-;_-* &quot;-&quot;??_-;_-@_-"/>
    <numFmt numFmtId="171" formatCode="_-* #,##0.000_-;\-* #,##0.000_-;_-* &quot;-&quot;??_-;_-@_-"/>
    <numFmt numFmtId="172" formatCode="&quot;$&quot;#,##0.000;[Red]\-&quot;$&quot;#,##0.000"/>
    <numFmt numFmtId="173" formatCode="&quot;$&quot;#,##0.00"/>
    <numFmt numFmtId="174" formatCode="0.000"/>
    <numFmt numFmtId="175" formatCode="&quot;$&quot;#,##0.0000_);[Red]\(&quot;$&quot;#,##0.0000\)"/>
    <numFmt numFmtId="176" formatCode="0.000%"/>
    <numFmt numFmtId="177" formatCode="_-* #,##0.0000_-;\-* #,##0.0000_-;_-* &quot;-&quot;??_-;_-@_-"/>
    <numFmt numFmtId="178" formatCode="&quot;$&quot;#,##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E8E8E8"/>
      <name val="Arial"/>
      <family val="2"/>
    </font>
    <font>
      <sz val="10"/>
      <color rgb="FF540000"/>
      <name val="Arial"/>
      <family val="2"/>
    </font>
    <font>
      <b/>
      <sz val="10"/>
      <color rgb="FF54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3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theme="6"/>
      <name val="Arial"/>
      <family val="2"/>
    </font>
    <font>
      <b/>
      <sz val="11"/>
      <color theme="1"/>
      <name val="Calibri"/>
      <family val="2"/>
      <scheme val="minor"/>
    </font>
    <font>
      <sz val="11"/>
      <color theme="4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F7BAF"/>
        <bgColor indexed="64"/>
      </patternFill>
    </fill>
    <fill>
      <patternFill patternType="solid">
        <fgColor rgb="FFCCD7E3"/>
        <bgColor indexed="64"/>
      </patternFill>
    </fill>
    <fill>
      <patternFill patternType="solid">
        <fgColor rgb="FFE7EC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E8E8E8"/>
      </left>
      <right style="medium">
        <color rgb="FFE8E8E8"/>
      </right>
      <top style="medium">
        <color rgb="FFE8E8E8"/>
      </top>
      <bottom/>
      <diagonal/>
    </border>
    <border>
      <left style="medium">
        <color rgb="FFE8E8E8"/>
      </left>
      <right style="medium">
        <color rgb="FFE8E8E8"/>
      </right>
      <top style="thick">
        <color rgb="FFE8E8E8"/>
      </top>
      <bottom style="medium">
        <color rgb="FFE8E8E8"/>
      </bottom>
      <diagonal/>
    </border>
    <border>
      <left style="medium">
        <color rgb="FFE8E8E8"/>
      </left>
      <right style="medium">
        <color rgb="FFE8E8E8"/>
      </right>
      <top style="medium">
        <color rgb="FFE8E8E8"/>
      </top>
      <bottom style="medium">
        <color rgb="FFE8E8E8"/>
      </bottom>
      <diagonal/>
    </border>
    <border>
      <left style="medium">
        <color rgb="FFE8E8E8"/>
      </left>
      <right style="medium">
        <color rgb="FFE8E8E8"/>
      </right>
      <top/>
      <bottom style="medium">
        <color rgb="FFE8E8E8"/>
      </bottom>
      <diagonal/>
    </border>
    <border>
      <left style="medium">
        <color rgb="FFE8E8E8"/>
      </left>
      <right style="medium">
        <color rgb="FFE8E8E8"/>
      </right>
      <top style="medium">
        <color rgb="FFE8E8E8"/>
      </top>
      <bottom style="thin">
        <color indexed="64"/>
      </bottom>
      <diagonal/>
    </border>
    <border>
      <left style="medium">
        <color rgb="FFE8E8E8"/>
      </left>
      <right style="medium">
        <color rgb="FFE8E8E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E8E8E8"/>
      </left>
      <right style="medium">
        <color rgb="FFE8E8E8"/>
      </right>
      <top style="thin">
        <color indexed="64"/>
      </top>
      <bottom style="medium">
        <color rgb="FFE8E8E8"/>
      </bottom>
      <diagonal/>
    </border>
    <border>
      <left style="medium">
        <color rgb="FFE8E8E8"/>
      </left>
      <right style="medium">
        <color rgb="FFE8E8E8"/>
      </right>
      <top style="thick">
        <color rgb="FFE8E8E8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</cellStyleXfs>
  <cellXfs count="211">
    <xf numFmtId="0" fontId="0" fillId="0" borderId="0" xfId="0"/>
    <xf numFmtId="0" fontId="5" fillId="0" borderId="0" xfId="0" applyFont="1" applyAlignment="1"/>
    <xf numFmtId="0" fontId="6" fillId="3" borderId="1" xfId="0" applyFont="1" applyFill="1" applyBorder="1" applyAlignment="1">
      <alignment horizontal="left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5" borderId="4" xfId="0" applyFont="1" applyFill="1" applyBorder="1" applyAlignment="1">
      <alignment horizontal="left" vertical="center" readingOrder="1"/>
    </xf>
    <xf numFmtId="0" fontId="7" fillId="5" borderId="4" xfId="0" applyFont="1" applyFill="1" applyBorder="1" applyAlignment="1">
      <alignment horizontal="left" vertical="center" readingOrder="1"/>
    </xf>
    <xf numFmtId="168" fontId="7" fillId="5" borderId="4" xfId="2" applyNumberFormat="1" applyFont="1" applyFill="1" applyBorder="1" applyAlignment="1">
      <alignment horizontal="right" vertical="center" readingOrder="1"/>
    </xf>
    <xf numFmtId="0" fontId="7" fillId="5" borderId="3" xfId="0" applyFont="1" applyFill="1" applyBorder="1" applyAlignment="1">
      <alignment horizontal="left" vertical="center" readingOrder="1"/>
    </xf>
    <xf numFmtId="0" fontId="7" fillId="4" borderId="2" xfId="0" applyFont="1" applyFill="1" applyBorder="1" applyAlignment="1">
      <alignment horizontal="left" vertical="center" readingOrder="1"/>
    </xf>
    <xf numFmtId="0" fontId="7" fillId="4" borderId="3" xfId="0" applyFont="1" applyFill="1" applyBorder="1" applyAlignment="1">
      <alignment horizontal="left" vertical="center" readingOrder="1"/>
    </xf>
    <xf numFmtId="0" fontId="9" fillId="0" borderId="0" xfId="0" applyFont="1"/>
    <xf numFmtId="0" fontId="10" fillId="0" borderId="0" xfId="0" applyFont="1" applyAlignment="1">
      <alignment horizontal="center" wrapText="1"/>
    </xf>
    <xf numFmtId="0" fontId="10" fillId="0" borderId="0" xfId="0" applyFont="1"/>
    <xf numFmtId="9" fontId="9" fillId="2" borderId="0" xfId="0" applyNumberFormat="1" applyFont="1" applyFill="1"/>
    <xf numFmtId="0" fontId="9" fillId="0" borderId="0" xfId="0" applyFont="1" applyFill="1"/>
    <xf numFmtId="0" fontId="9" fillId="2" borderId="0" xfId="0" applyFont="1" applyFill="1" applyBorder="1"/>
    <xf numFmtId="0" fontId="9" fillId="2" borderId="0" xfId="0" applyFont="1" applyFill="1"/>
    <xf numFmtId="168" fontId="9" fillId="2" borderId="0" xfId="2" applyNumberFormat="1" applyFont="1" applyFill="1"/>
    <xf numFmtId="169" fontId="9" fillId="2" borderId="0" xfId="0" applyNumberFormat="1" applyFont="1" applyFill="1"/>
    <xf numFmtId="169" fontId="11" fillId="2" borderId="0" xfId="1" applyNumberFormat="1" applyFont="1" applyFill="1" applyBorder="1"/>
    <xf numFmtId="0" fontId="14" fillId="0" borderId="0" xfId="4" applyFont="1"/>
    <xf numFmtId="0" fontId="14" fillId="0" borderId="0" xfId="4" applyFont="1" applyFill="1"/>
    <xf numFmtId="0" fontId="14" fillId="2" borderId="0" xfId="4" applyFont="1" applyFill="1"/>
    <xf numFmtId="0" fontId="12" fillId="0" borderId="0" xfId="0" applyFont="1" applyAlignment="1"/>
    <xf numFmtId="0" fontId="9" fillId="0" borderId="0" xfId="0" applyFont="1" applyAlignment="1"/>
    <xf numFmtId="9" fontId="9" fillId="2" borderId="0" xfId="1" applyFont="1" applyFill="1" applyAlignment="1"/>
    <xf numFmtId="9" fontId="9" fillId="2" borderId="0" xfId="1" applyNumberFormat="1" applyFont="1" applyFill="1" applyBorder="1" applyAlignment="1"/>
    <xf numFmtId="9" fontId="9" fillId="2" borderId="0" xfId="1" applyFont="1" applyFill="1" applyBorder="1" applyAlignment="1"/>
    <xf numFmtId="170" fontId="9" fillId="0" borderId="0" xfId="2" applyNumberFormat="1" applyFont="1" applyFill="1" applyAlignment="1"/>
    <xf numFmtId="170" fontId="9" fillId="2" borderId="0" xfId="2" applyNumberFormat="1" applyFont="1" applyFill="1" applyBorder="1" applyAlignment="1"/>
    <xf numFmtId="168" fontId="9" fillId="0" borderId="0" xfId="0" applyNumberFormat="1" applyFont="1" applyFill="1" applyAlignment="1"/>
    <xf numFmtId="168" fontId="9" fillId="2" borderId="0" xfId="2" applyNumberFormat="1" applyFont="1" applyFill="1" applyAlignment="1"/>
    <xf numFmtId="0" fontId="10" fillId="0" borderId="0" xfId="0" applyFont="1" applyAlignment="1">
      <alignment horizontal="center"/>
    </xf>
    <xf numFmtId="0" fontId="9" fillId="2" borderId="0" xfId="0" applyFont="1" applyFill="1" applyAlignment="1"/>
    <xf numFmtId="0" fontId="9" fillId="2" borderId="0" xfId="0" applyFont="1" applyFill="1" applyBorder="1" applyAlignment="1"/>
    <xf numFmtId="0" fontId="10" fillId="0" borderId="0" xfId="0" applyFont="1" applyFill="1" applyAlignment="1">
      <alignment horizontal="center"/>
    </xf>
    <xf numFmtId="9" fontId="9" fillId="0" borderId="0" xfId="1" applyFont="1" applyBorder="1" applyAlignment="1"/>
    <xf numFmtId="0" fontId="9" fillId="0" borderId="0" xfId="0" applyFont="1" applyFill="1" applyAlignment="1"/>
    <xf numFmtId="0" fontId="10" fillId="0" borderId="0" xfId="0" applyFont="1" applyAlignment="1"/>
    <xf numFmtId="0" fontId="9" fillId="0" borderId="0" xfId="0" applyFont="1" applyBorder="1" applyAlignment="1"/>
    <xf numFmtId="2" fontId="9" fillId="2" borderId="0" xfId="0" applyNumberFormat="1" applyFont="1" applyFill="1" applyAlignment="1"/>
    <xf numFmtId="2" fontId="9" fillId="2" borderId="0" xfId="0" applyNumberFormat="1" applyFont="1" applyFill="1" applyBorder="1" applyAlignment="1"/>
    <xf numFmtId="2" fontId="9" fillId="0" borderId="0" xfId="0" applyNumberFormat="1" applyFont="1" applyFill="1" applyAlignment="1"/>
    <xf numFmtId="1" fontId="9" fillId="2" borderId="0" xfId="0" applyNumberFormat="1" applyFont="1" applyFill="1" applyAlignment="1"/>
    <xf numFmtId="0" fontId="15" fillId="0" borderId="0" xfId="4" applyFont="1"/>
    <xf numFmtId="168" fontId="14" fillId="0" borderId="0" xfId="2" applyNumberFormat="1" applyFont="1"/>
    <xf numFmtId="0" fontId="15" fillId="0" borderId="0" xfId="4" applyFont="1" applyAlignment="1">
      <alignment horizontal="center"/>
    </xf>
    <xf numFmtId="168" fontId="9" fillId="0" borderId="0" xfId="2" applyNumberFormat="1" applyFont="1" applyFill="1"/>
    <xf numFmtId="166" fontId="14" fillId="0" borderId="0" xfId="2" applyNumberFormat="1" applyFont="1"/>
    <xf numFmtId="166" fontId="14" fillId="0" borderId="0" xfId="4" applyNumberFormat="1" applyFont="1" applyFill="1"/>
    <xf numFmtId="166" fontId="14" fillId="0" borderId="0" xfId="2" applyNumberFormat="1" applyFont="1" applyFill="1"/>
    <xf numFmtId="164" fontId="14" fillId="0" borderId="0" xfId="4" applyNumberFormat="1" applyFont="1" applyFill="1"/>
    <xf numFmtId="171" fontId="14" fillId="0" borderId="0" xfId="2" applyNumberFormat="1" applyFont="1" applyFill="1"/>
    <xf numFmtId="168" fontId="14" fillId="0" borderId="0" xfId="2" applyNumberFormat="1" applyFont="1" applyFill="1"/>
    <xf numFmtId="170" fontId="14" fillId="0" borderId="0" xfId="4" applyNumberFormat="1" applyFont="1" applyFill="1"/>
    <xf numFmtId="170" fontId="14" fillId="0" borderId="0" xfId="2" applyNumberFormat="1" applyFont="1" applyFill="1"/>
    <xf numFmtId="172" fontId="14" fillId="0" borderId="0" xfId="4" applyNumberFormat="1" applyFont="1" applyFill="1"/>
    <xf numFmtId="0" fontId="14" fillId="0" borderId="0" xfId="4" applyFont="1" applyFill="1" applyAlignment="1">
      <alignment horizontal="center"/>
    </xf>
    <xf numFmtId="0" fontId="15" fillId="0" borderId="0" xfId="4" applyFont="1" applyFill="1"/>
    <xf numFmtId="0" fontId="13" fillId="0" borderId="0" xfId="3" applyFont="1" applyFill="1" applyAlignment="1"/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1" fontId="9" fillId="0" borderId="0" xfId="0" applyNumberFormat="1" applyFont="1" applyAlignment="1"/>
    <xf numFmtId="0" fontId="12" fillId="0" borderId="0" xfId="0" applyFont="1" applyFill="1" applyAlignment="1"/>
    <xf numFmtId="10" fontId="9" fillId="0" borderId="0" xfId="1" applyNumberFormat="1" applyFont="1" applyAlignment="1"/>
    <xf numFmtId="1" fontId="9" fillId="0" borderId="0" xfId="0" applyNumberFormat="1" applyFont="1" applyFill="1" applyAlignment="1"/>
    <xf numFmtId="166" fontId="10" fillId="0" borderId="0" xfId="0" applyNumberFormat="1" applyFont="1" applyFill="1" applyAlignment="1">
      <alignment horizontal="center"/>
    </xf>
    <xf numFmtId="168" fontId="9" fillId="0" borderId="0" xfId="0" applyNumberFormat="1" applyFont="1" applyAlignment="1"/>
    <xf numFmtId="164" fontId="9" fillId="0" borderId="0" xfId="0" applyNumberFormat="1" applyFont="1" applyAlignment="1"/>
    <xf numFmtId="9" fontId="9" fillId="0" borderId="0" xfId="1" applyNumberFormat="1" applyFont="1" applyFill="1" applyBorder="1" applyAlignment="1"/>
    <xf numFmtId="0" fontId="12" fillId="0" borderId="0" xfId="0" applyFont="1"/>
    <xf numFmtId="170" fontId="7" fillId="5" borderId="3" xfId="2" applyNumberFormat="1" applyFont="1" applyFill="1" applyBorder="1" applyAlignment="1">
      <alignment horizontal="right" vertical="center" readingOrder="1"/>
    </xf>
    <xf numFmtId="0" fontId="16" fillId="0" borderId="0" xfId="4" applyFont="1"/>
    <xf numFmtId="0" fontId="17" fillId="0" borderId="0" xfId="4" applyFont="1" applyAlignment="1">
      <alignment horizontal="left" indent="1"/>
    </xf>
    <xf numFmtId="168" fontId="18" fillId="0" borderId="0" xfId="2" applyNumberFormat="1" applyFont="1"/>
    <xf numFmtId="9" fontId="15" fillId="0" borderId="0" xfId="1" applyFont="1" applyFill="1"/>
    <xf numFmtId="0" fontId="12" fillId="0" borderId="0" xfId="0" applyFont="1" applyAlignment="1">
      <alignment horizontal="left" indent="1"/>
    </xf>
    <xf numFmtId="0" fontId="15" fillId="0" borderId="0" xfId="1" applyNumberFormat="1" applyFont="1" applyFill="1"/>
    <xf numFmtId="0" fontId="17" fillId="0" borderId="0" xfId="4" applyFont="1"/>
    <xf numFmtId="165" fontId="15" fillId="0" borderId="0" xfId="5" applyFont="1" applyFill="1"/>
    <xf numFmtId="168" fontId="9" fillId="6" borderId="0" xfId="2" applyNumberFormat="1" applyFont="1" applyFill="1" applyBorder="1" applyAlignment="1"/>
    <xf numFmtId="170" fontId="9" fillId="6" borderId="0" xfId="2" applyNumberFormat="1" applyFont="1" applyFill="1" applyBorder="1" applyAlignment="1"/>
    <xf numFmtId="169" fontId="9" fillId="6" borderId="0" xfId="1" applyNumberFormat="1" applyFont="1" applyFill="1" applyBorder="1" applyAlignment="1"/>
    <xf numFmtId="0" fontId="9" fillId="6" borderId="0" xfId="0" applyFont="1" applyFill="1" applyBorder="1" applyAlignment="1"/>
    <xf numFmtId="167" fontId="9" fillId="6" borderId="0" xfId="0" applyNumberFormat="1" applyFont="1" applyFill="1" applyBorder="1" applyAlignment="1"/>
    <xf numFmtId="170" fontId="9" fillId="6" borderId="0" xfId="0" applyNumberFormat="1" applyFont="1" applyFill="1" applyBorder="1" applyAlignment="1"/>
    <xf numFmtId="0" fontId="10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0" fontId="10" fillId="6" borderId="10" xfId="0" applyFont="1" applyFill="1" applyBorder="1" applyAlignment="1"/>
    <xf numFmtId="0" fontId="10" fillId="6" borderId="0" xfId="0" applyFont="1" applyFill="1" applyBorder="1" applyAlignment="1"/>
    <xf numFmtId="0" fontId="10" fillId="6" borderId="11" xfId="0" applyFont="1" applyFill="1" applyBorder="1" applyAlignment="1"/>
    <xf numFmtId="0" fontId="9" fillId="6" borderId="10" xfId="0" applyFont="1" applyFill="1" applyBorder="1" applyAlignment="1"/>
    <xf numFmtId="0" fontId="9" fillId="6" borderId="11" xfId="0" applyFont="1" applyFill="1" applyBorder="1" applyAlignment="1"/>
    <xf numFmtId="168" fontId="9" fillId="6" borderId="10" xfId="2" applyNumberFormat="1" applyFont="1" applyFill="1" applyBorder="1" applyAlignment="1"/>
    <xf numFmtId="168" fontId="9" fillId="6" borderId="11" xfId="2" applyNumberFormat="1" applyFont="1" applyFill="1" applyBorder="1" applyAlignment="1"/>
    <xf numFmtId="170" fontId="9" fillId="6" borderId="10" xfId="2" applyNumberFormat="1" applyFont="1" applyFill="1" applyBorder="1" applyAlignment="1"/>
    <xf numFmtId="170" fontId="9" fillId="6" borderId="11" xfId="2" applyNumberFormat="1" applyFont="1" applyFill="1" applyBorder="1" applyAlignment="1"/>
    <xf numFmtId="1" fontId="9" fillId="6" borderId="10" xfId="0" applyNumberFormat="1" applyFont="1" applyFill="1" applyBorder="1" applyAlignment="1"/>
    <xf numFmtId="1" fontId="9" fillId="6" borderId="0" xfId="0" applyNumberFormat="1" applyFont="1" applyFill="1" applyBorder="1" applyAlignment="1"/>
    <xf numFmtId="1" fontId="9" fillId="6" borderId="11" xfId="0" applyNumberFormat="1" applyFont="1" applyFill="1" applyBorder="1" applyAlignment="1"/>
    <xf numFmtId="10" fontId="9" fillId="6" borderId="10" xfId="1" applyNumberFormat="1" applyFont="1" applyFill="1" applyBorder="1" applyAlignment="1"/>
    <xf numFmtId="10" fontId="9" fillId="6" borderId="0" xfId="1" applyNumberFormat="1" applyFont="1" applyFill="1" applyBorder="1" applyAlignment="1"/>
    <xf numFmtId="10" fontId="9" fillId="6" borderId="11" xfId="1" applyNumberFormat="1" applyFont="1" applyFill="1" applyBorder="1" applyAlignment="1"/>
    <xf numFmtId="169" fontId="9" fillId="6" borderId="10" xfId="1" applyNumberFormat="1" applyFont="1" applyFill="1" applyBorder="1" applyAlignment="1"/>
    <xf numFmtId="169" fontId="9" fillId="6" borderId="11" xfId="1" applyNumberFormat="1" applyFont="1" applyFill="1" applyBorder="1" applyAlignment="1"/>
    <xf numFmtId="166" fontId="9" fillId="6" borderId="10" xfId="0" applyNumberFormat="1" applyFont="1" applyFill="1" applyBorder="1" applyAlignment="1"/>
    <xf numFmtId="166" fontId="9" fillId="6" borderId="0" xfId="0" applyNumberFormat="1" applyFont="1" applyFill="1" applyBorder="1" applyAlignment="1"/>
    <xf numFmtId="166" fontId="9" fillId="6" borderId="11" xfId="0" applyNumberFormat="1" applyFont="1" applyFill="1" applyBorder="1" applyAlignment="1"/>
    <xf numFmtId="167" fontId="9" fillId="6" borderId="10" xfId="0" applyNumberFormat="1" applyFont="1" applyFill="1" applyBorder="1" applyAlignment="1"/>
    <xf numFmtId="167" fontId="9" fillId="6" borderId="11" xfId="0" applyNumberFormat="1" applyFont="1" applyFill="1" applyBorder="1" applyAlignment="1"/>
    <xf numFmtId="170" fontId="9" fillId="6" borderId="10" xfId="0" applyNumberFormat="1" applyFont="1" applyFill="1" applyBorder="1" applyAlignment="1"/>
    <xf numFmtId="170" fontId="9" fillId="6" borderId="11" xfId="0" applyNumberFormat="1" applyFont="1" applyFill="1" applyBorder="1" applyAlignment="1"/>
    <xf numFmtId="2" fontId="9" fillId="6" borderId="0" xfId="0" applyNumberFormat="1" applyFont="1" applyFill="1" applyBorder="1" applyAlignment="1"/>
    <xf numFmtId="2" fontId="9" fillId="6" borderId="10" xfId="0" applyNumberFormat="1" applyFont="1" applyFill="1" applyBorder="1" applyAlignment="1"/>
    <xf numFmtId="2" fontId="9" fillId="6" borderId="11" xfId="0" applyNumberFormat="1" applyFont="1" applyFill="1" applyBorder="1" applyAlignment="1"/>
    <xf numFmtId="1" fontId="9" fillId="6" borderId="13" xfId="0" applyNumberFormat="1" applyFont="1" applyFill="1" applyBorder="1" applyAlignment="1"/>
    <xf numFmtId="1" fontId="9" fillId="6" borderId="14" xfId="0" applyNumberFormat="1" applyFont="1" applyFill="1" applyBorder="1" applyAlignment="1"/>
    <xf numFmtId="0" fontId="9" fillId="6" borderId="15" xfId="0" applyFont="1" applyFill="1" applyBorder="1" applyAlignment="1"/>
    <xf numFmtId="0" fontId="9" fillId="6" borderId="16" xfId="0" applyFont="1" applyFill="1" applyBorder="1" applyAlignment="1"/>
    <xf numFmtId="0" fontId="9" fillId="6" borderId="17" xfId="0" applyFont="1" applyFill="1" applyBorder="1" applyAlignment="1"/>
    <xf numFmtId="164" fontId="9" fillId="0" borderId="0" xfId="0" applyNumberFormat="1" applyFont="1" applyFill="1" applyAlignment="1"/>
    <xf numFmtId="10" fontId="9" fillId="0" borderId="0" xfId="1" applyNumberFormat="1" applyFont="1" applyFill="1" applyAlignment="1"/>
    <xf numFmtId="173" fontId="9" fillId="0" borderId="0" xfId="0" applyNumberFormat="1" applyFont="1" applyAlignment="1"/>
    <xf numFmtId="166" fontId="5" fillId="0" borderId="0" xfId="0" applyNumberFormat="1" applyFont="1" applyAlignment="1"/>
    <xf numFmtId="0" fontId="0" fillId="0" borderId="0" xfId="0" applyFill="1"/>
    <xf numFmtId="0" fontId="0" fillId="0" borderId="0" xfId="0" applyAlignment="1">
      <alignment wrapText="1"/>
    </xf>
    <xf numFmtId="0" fontId="19" fillId="0" borderId="0" xfId="0" applyFont="1"/>
    <xf numFmtId="0" fontId="20" fillId="0" borderId="0" xfId="4" applyFont="1"/>
    <xf numFmtId="168" fontId="7" fillId="5" borderId="3" xfId="2" applyNumberFormat="1" applyFont="1" applyFill="1" applyBorder="1" applyAlignment="1">
      <alignment horizontal="right" vertical="center" readingOrder="1"/>
    </xf>
    <xf numFmtId="168" fontId="7" fillId="4" borderId="2" xfId="2" applyNumberFormat="1" applyFont="1" applyFill="1" applyBorder="1" applyAlignment="1">
      <alignment horizontal="right" vertical="center" readingOrder="1"/>
    </xf>
    <xf numFmtId="168" fontId="7" fillId="5" borderId="5" xfId="2" applyNumberFormat="1" applyFont="1" applyFill="1" applyBorder="1" applyAlignment="1">
      <alignment horizontal="right" vertical="center" readingOrder="1"/>
    </xf>
    <xf numFmtId="168" fontId="7" fillId="4" borderId="4" xfId="2" applyNumberFormat="1" applyFont="1" applyFill="1" applyBorder="1" applyAlignment="1">
      <alignment horizontal="right" vertical="center" readingOrder="1"/>
    </xf>
    <xf numFmtId="168" fontId="7" fillId="4" borderId="19" xfId="0" applyNumberFormat="1" applyFont="1" applyFill="1" applyBorder="1" applyAlignment="1">
      <alignment horizontal="right" vertical="center" readingOrder="1"/>
    </xf>
    <xf numFmtId="168" fontId="7" fillId="5" borderId="18" xfId="2" applyNumberFormat="1" applyFont="1" applyFill="1" applyBorder="1" applyAlignment="1">
      <alignment horizontal="right" vertical="center" readingOrder="1"/>
    </xf>
    <xf numFmtId="168" fontId="7" fillId="5" borderId="3" xfId="0" applyNumberFormat="1" applyFont="1" applyFill="1" applyBorder="1" applyAlignment="1">
      <alignment horizontal="left" vertical="center" readingOrder="1"/>
    </xf>
    <xf numFmtId="168" fontId="5" fillId="0" borderId="0" xfId="0" applyNumberFormat="1" applyFont="1" applyAlignment="1"/>
    <xf numFmtId="168" fontId="7" fillId="4" borderId="6" xfId="2" applyNumberFormat="1" applyFont="1" applyFill="1" applyBorder="1" applyAlignment="1">
      <alignment horizontal="right" vertical="center" readingOrder="1"/>
    </xf>
    <xf numFmtId="168" fontId="7" fillId="4" borderId="3" xfId="0" applyNumberFormat="1" applyFont="1" applyFill="1" applyBorder="1" applyAlignment="1">
      <alignment horizontal="right" vertical="center" readingOrder="1"/>
    </xf>
    <xf numFmtId="174" fontId="9" fillId="0" borderId="0" xfId="0" applyNumberFormat="1" applyFont="1" applyAlignment="1"/>
    <xf numFmtId="174" fontId="9" fillId="2" borderId="0" xfId="0" applyNumberFormat="1" applyFont="1" applyFill="1" applyAlignment="1"/>
    <xf numFmtId="174" fontId="9" fillId="0" borderId="0" xfId="0" applyNumberFormat="1" applyFont="1" applyFill="1" applyAlignment="1"/>
    <xf numFmtId="9" fontId="9" fillId="0" borderId="0" xfId="0" applyNumberFormat="1" applyFont="1" applyFill="1"/>
    <xf numFmtId="0" fontId="9" fillId="0" borderId="0" xfId="0" applyFont="1" applyFill="1" applyBorder="1"/>
    <xf numFmtId="169" fontId="11" fillId="0" borderId="0" xfId="1" applyNumberFormat="1" applyFont="1" applyFill="1" applyBorder="1"/>
    <xf numFmtId="9" fontId="9" fillId="0" borderId="0" xfId="1" applyFont="1" applyFill="1" applyBorder="1" applyAlignment="1"/>
    <xf numFmtId="170" fontId="9" fillId="0" borderId="0" xfId="2" applyNumberFormat="1" applyFont="1" applyFill="1" applyBorder="1" applyAlignment="1"/>
    <xf numFmtId="168" fontId="9" fillId="0" borderId="0" xfId="2" applyNumberFormat="1" applyFont="1" applyFill="1" applyAlignment="1"/>
    <xf numFmtId="0" fontId="9" fillId="0" borderId="0" xfId="0" applyFont="1" applyFill="1" applyBorder="1" applyAlignment="1"/>
    <xf numFmtId="2" fontId="9" fillId="0" borderId="0" xfId="0" applyNumberFormat="1" applyFont="1" applyFill="1" applyBorder="1" applyAlignment="1"/>
    <xf numFmtId="0" fontId="9" fillId="7" borderId="0" xfId="0" applyFont="1" applyFill="1" applyAlignment="1"/>
    <xf numFmtId="9" fontId="9" fillId="7" borderId="0" xfId="1" applyFont="1" applyFill="1" applyBorder="1" applyAlignment="1"/>
    <xf numFmtId="9" fontId="9" fillId="7" borderId="0" xfId="1" applyNumberFormat="1" applyFont="1" applyFill="1" applyBorder="1" applyAlignment="1"/>
    <xf numFmtId="166" fontId="15" fillId="0" borderId="0" xfId="4" applyNumberFormat="1" applyFont="1" applyAlignment="1">
      <alignment horizontal="center"/>
    </xf>
    <xf numFmtId="164" fontId="14" fillId="0" borderId="0" xfId="4" applyNumberFormat="1" applyFont="1"/>
    <xf numFmtId="167" fontId="9" fillId="0" borderId="0" xfId="0" applyNumberFormat="1" applyFont="1" applyAlignment="1"/>
    <xf numFmtId="0" fontId="10" fillId="6" borderId="8" xfId="0" applyFont="1" applyFill="1" applyBorder="1" applyAlignment="1">
      <alignment horizontal="left"/>
    </xf>
    <xf numFmtId="166" fontId="0" fillId="0" borderId="0" xfId="0" applyNumberFormat="1"/>
    <xf numFmtId="0" fontId="14" fillId="0" borderId="0" xfId="4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1" fillId="0" borderId="0" xfId="4" applyFont="1" applyAlignment="1">
      <alignment wrapText="1"/>
    </xf>
    <xf numFmtId="0" fontId="10" fillId="0" borderId="0" xfId="0" applyFont="1" applyFill="1" applyAlignment="1">
      <alignment horizontal="center" wrapText="1"/>
    </xf>
    <xf numFmtId="9" fontId="9" fillId="8" borderId="0" xfId="0" applyNumberFormat="1" applyFont="1" applyFill="1"/>
    <xf numFmtId="166" fontId="9" fillId="8" borderId="0" xfId="2" applyFont="1" applyFill="1"/>
    <xf numFmtId="0" fontId="14" fillId="8" borderId="0" xfId="4" applyFont="1" applyFill="1"/>
    <xf numFmtId="169" fontId="9" fillId="8" borderId="0" xfId="0" applyNumberFormat="1" applyFont="1" applyFill="1"/>
    <xf numFmtId="9" fontId="9" fillId="8" borderId="0" xfId="1" applyNumberFormat="1" applyFont="1" applyFill="1" applyBorder="1" applyAlignment="1"/>
    <xf numFmtId="0" fontId="9" fillId="8" borderId="0" xfId="0" applyFont="1" applyFill="1" applyAlignment="1"/>
    <xf numFmtId="0" fontId="9" fillId="8" borderId="0" xfId="0" applyFont="1" applyFill="1" applyBorder="1" applyAlignment="1"/>
    <xf numFmtId="2" fontId="21" fillId="2" borderId="0" xfId="0" applyNumberFormat="1" applyFont="1" applyFill="1" applyAlignment="1"/>
    <xf numFmtId="2" fontId="21" fillId="2" borderId="0" xfId="0" applyNumberFormat="1" applyFont="1" applyFill="1" applyBorder="1" applyAlignment="1"/>
    <xf numFmtId="174" fontId="21" fillId="2" borderId="0" xfId="0" applyNumberFormat="1" applyFont="1" applyFill="1" applyAlignment="1"/>
    <xf numFmtId="2" fontId="9" fillId="8" borderId="0" xfId="0" applyNumberFormat="1" applyFont="1" applyFill="1" applyAlignment="1"/>
    <xf numFmtId="166" fontId="0" fillId="0" borderId="0" xfId="2" applyNumberFormat="1" applyFont="1"/>
    <xf numFmtId="175" fontId="9" fillId="0" borderId="0" xfId="0" applyNumberFormat="1" applyFont="1" applyAlignment="1"/>
    <xf numFmtId="168" fontId="0" fillId="0" borderId="0" xfId="0" applyNumberFormat="1"/>
    <xf numFmtId="170" fontId="7" fillId="4" borderId="2" xfId="2" applyNumberFormat="1" applyFont="1" applyFill="1" applyBorder="1" applyAlignment="1">
      <alignment horizontal="right" vertical="center" readingOrder="1"/>
    </xf>
    <xf numFmtId="170" fontId="7" fillId="4" borderId="4" xfId="2" applyNumberFormat="1" applyFont="1" applyFill="1" applyBorder="1" applyAlignment="1">
      <alignment horizontal="right" vertical="center" readingOrder="1"/>
    </xf>
    <xf numFmtId="170" fontId="7" fillId="4" borderId="6" xfId="2" applyNumberFormat="1" applyFont="1" applyFill="1" applyBorder="1" applyAlignment="1">
      <alignment horizontal="right" vertical="center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18" fillId="2" borderId="0" xfId="0" applyFont="1" applyFill="1"/>
    <xf numFmtId="168" fontId="18" fillId="2" borderId="0" xfId="2" applyNumberFormat="1" applyFont="1" applyFill="1"/>
    <xf numFmtId="169" fontId="18" fillId="2" borderId="0" xfId="1" applyNumberFormat="1" applyFont="1" applyFill="1" applyBorder="1"/>
    <xf numFmtId="169" fontId="9" fillId="0" borderId="0" xfId="0" applyNumberFormat="1" applyFont="1" applyFill="1"/>
    <xf numFmtId="1" fontId="9" fillId="6" borderId="12" xfId="0" applyNumberFormat="1" applyFont="1" applyFill="1" applyBorder="1" applyAlignment="1"/>
    <xf numFmtId="176" fontId="15" fillId="0" borderId="0" xfId="1" applyNumberFormat="1" applyFont="1" applyFill="1"/>
    <xf numFmtId="177" fontId="14" fillId="0" borderId="0" xfId="4" applyNumberFormat="1" applyFont="1" applyFill="1"/>
    <xf numFmtId="2" fontId="15" fillId="0" borderId="0" xfId="1" applyNumberFormat="1" applyFont="1" applyFill="1"/>
    <xf numFmtId="2" fontId="14" fillId="0" borderId="0" xfId="4" applyNumberFormat="1" applyFont="1" applyFill="1"/>
    <xf numFmtId="43" fontId="7" fillId="4" borderId="3" xfId="0" applyNumberFormat="1" applyFont="1" applyFill="1" applyBorder="1" applyAlignment="1">
      <alignment horizontal="right" vertical="center" readingOrder="1"/>
    </xf>
    <xf numFmtId="171" fontId="9" fillId="0" borderId="0" xfId="2" applyNumberFormat="1" applyFont="1" applyFill="1"/>
    <xf numFmtId="178" fontId="9" fillId="0" borderId="0" xfId="0" applyNumberFormat="1" applyFont="1" applyAlignment="1"/>
    <xf numFmtId="170" fontId="7" fillId="4" borderId="3" xfId="0" applyNumberFormat="1" applyFont="1" applyFill="1" applyBorder="1" applyAlignment="1">
      <alignment horizontal="right" vertical="center" readingOrder="1"/>
    </xf>
    <xf numFmtId="167" fontId="9" fillId="6" borderId="13" xfId="0" applyNumberFormat="1" applyFont="1" applyFill="1" applyBorder="1" applyAlignment="1"/>
    <xf numFmtId="171" fontId="9" fillId="0" borderId="0" xfId="0" applyNumberFormat="1" applyFont="1"/>
    <xf numFmtId="167" fontId="21" fillId="2" borderId="0" xfId="0" applyNumberFormat="1" applyFont="1" applyFill="1" applyAlignment="1"/>
    <xf numFmtId="167" fontId="21" fillId="2" borderId="0" xfId="0" applyNumberFormat="1" applyFont="1" applyFill="1" applyBorder="1" applyAlignment="1"/>
    <xf numFmtId="167" fontId="9" fillId="0" borderId="0" xfId="0" applyNumberFormat="1" applyFont="1" applyFill="1" applyAlignment="1"/>
    <xf numFmtId="1" fontId="7" fillId="5" borderId="4" xfId="2" applyNumberFormat="1" applyFont="1" applyFill="1" applyBorder="1" applyAlignment="1">
      <alignment horizontal="right" vertical="center" readingOrder="1"/>
    </xf>
    <xf numFmtId="1" fontId="7" fillId="4" borderId="19" xfId="0" applyNumberFormat="1" applyFont="1" applyFill="1" applyBorder="1" applyAlignment="1">
      <alignment horizontal="right" vertical="center" readingOrder="1"/>
    </xf>
    <xf numFmtId="1" fontId="7" fillId="5" borderId="18" xfId="2" applyNumberFormat="1" applyFont="1" applyFill="1" applyBorder="1" applyAlignment="1">
      <alignment horizontal="right" vertical="center" readingOrder="1"/>
    </xf>
    <xf numFmtId="1" fontId="7" fillId="5" borderId="3" xfId="2" applyNumberFormat="1" applyFont="1" applyFill="1" applyBorder="1" applyAlignment="1">
      <alignment horizontal="right" vertical="center" readingOrder="1"/>
    </xf>
    <xf numFmtId="1" fontId="7" fillId="4" borderId="2" xfId="2" applyNumberFormat="1" applyFont="1" applyFill="1" applyBorder="1" applyAlignment="1">
      <alignment horizontal="right" vertical="center" readingOrder="1"/>
    </xf>
    <xf numFmtId="1" fontId="7" fillId="5" borderId="5" xfId="2" applyNumberFormat="1" applyFont="1" applyFill="1" applyBorder="1" applyAlignment="1">
      <alignment horizontal="right" vertical="center" readingOrder="1"/>
    </xf>
    <xf numFmtId="1" fontId="7" fillId="4" borderId="4" xfId="2" applyNumberFormat="1" applyFont="1" applyFill="1" applyBorder="1" applyAlignment="1">
      <alignment horizontal="right" vertical="center" readingOrder="1"/>
    </xf>
    <xf numFmtId="177" fontId="7" fillId="4" borderId="2" xfId="2" applyNumberFormat="1" applyFont="1" applyFill="1" applyBorder="1" applyAlignment="1">
      <alignment horizontal="right" vertical="center" readingOrder="1"/>
    </xf>
    <xf numFmtId="1" fontId="5" fillId="0" borderId="0" xfId="0" applyNumberFormat="1" applyFont="1" applyAlignment="1"/>
    <xf numFmtId="1" fontId="7" fillId="4" borderId="6" xfId="2" applyNumberFormat="1" applyFont="1" applyFill="1" applyBorder="1" applyAlignment="1">
      <alignment horizontal="right" vertical="center" readingOrder="1"/>
    </xf>
    <xf numFmtId="167" fontId="18" fillId="2" borderId="0" xfId="0" applyNumberFormat="1" applyFont="1" applyFill="1" applyAlignment="1"/>
    <xf numFmtId="0" fontId="14" fillId="0" borderId="0" xfId="4" applyFont="1" applyAlignment="1">
      <alignment horizontal="center"/>
    </xf>
  </cellXfs>
  <cellStyles count="6">
    <cellStyle name="Comma" xfId="2" builtinId="3"/>
    <cellStyle name="Currency" xfId="5" builtinId="4"/>
    <cellStyle name="Hyperlink" xfId="3" builtinId="8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%20Job%20Files/EA/Wholesale/EAW033%20-%20Real%20time%20price%20proposal/CBA/Real-time-pricing-cost-benefit-analysis-model%20-%20from%20EA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ssumptions"/>
      <sheetName val="Timing calculations"/>
      <sheetName val="Detailed Results"/>
      <sheetName val="Results Table"/>
    </sheetNames>
    <sheetDataSet>
      <sheetData sheetId="0" refreshError="1"/>
      <sheetData sheetId="1">
        <row r="61">
          <cell r="C61">
            <v>-1</v>
          </cell>
          <cell r="D61">
            <v>-0.75</v>
          </cell>
          <cell r="E61">
            <v>-0.5</v>
          </cell>
        </row>
        <row r="62">
          <cell r="C62">
            <v>-0.5</v>
          </cell>
          <cell r="D62">
            <v>-0.375</v>
          </cell>
          <cell r="E62">
            <v>-0.25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workbookViewId="0">
      <selection activeCell="A19" sqref="A19"/>
    </sheetView>
  </sheetViews>
  <sheetFormatPr defaultRowHeight="15" x14ac:dyDescent="0.25"/>
  <cols>
    <col min="1" max="1" width="85.140625" customWidth="1"/>
  </cols>
  <sheetData>
    <row r="1" spans="1:1" x14ac:dyDescent="0.25">
      <c r="A1" s="127" t="s">
        <v>164</v>
      </c>
    </row>
    <row r="2" spans="1:1" x14ac:dyDescent="0.25">
      <c r="A2" s="126" t="s">
        <v>161</v>
      </c>
    </row>
    <row r="3" spans="1:1" x14ac:dyDescent="0.25">
      <c r="A3" s="126"/>
    </row>
    <row r="4" spans="1:1" ht="30" x14ac:dyDescent="0.25">
      <c r="A4" s="126" t="s">
        <v>162</v>
      </c>
    </row>
    <row r="5" spans="1:1" x14ac:dyDescent="0.25">
      <c r="A5" s="126"/>
    </row>
    <row r="6" spans="1:1" x14ac:dyDescent="0.25">
      <c r="A6" s="126" t="s">
        <v>163</v>
      </c>
    </row>
    <row r="7" spans="1:1" x14ac:dyDescent="0.25">
      <c r="A7" s="126"/>
    </row>
    <row r="8" spans="1:1" ht="45" x14ac:dyDescent="0.25">
      <c r="A8" s="126" t="s">
        <v>166</v>
      </c>
    </row>
    <row r="9" spans="1:1" x14ac:dyDescent="0.25">
      <c r="A9" s="126"/>
    </row>
    <row r="10" spans="1:1" x14ac:dyDescent="0.25">
      <c r="A10" s="126" t="s">
        <v>231</v>
      </c>
    </row>
    <row r="11" spans="1:1" x14ac:dyDescent="0.25">
      <c r="A11" s="126"/>
    </row>
    <row r="12" spans="1:1" ht="30" x14ac:dyDescent="0.25">
      <c r="A12" s="126" t="s">
        <v>167</v>
      </c>
    </row>
    <row r="14" spans="1:1" ht="30" x14ac:dyDescent="0.25">
      <c r="A14" s="126" t="s">
        <v>168</v>
      </c>
    </row>
    <row r="16" spans="1:1" ht="30" x14ac:dyDescent="0.25">
      <c r="A16" s="126" t="s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81"/>
  <sheetViews>
    <sheetView topLeftCell="A22" zoomScale="85" zoomScaleNormal="85" workbookViewId="0">
      <selection activeCell="A67" sqref="A67"/>
    </sheetView>
  </sheetViews>
  <sheetFormatPr defaultColWidth="8.85546875" defaultRowHeight="14.25" x14ac:dyDescent="0.2"/>
  <cols>
    <col min="1" max="1" width="73.85546875" style="20" customWidth="1"/>
    <col min="2" max="2" width="10.5703125" style="20" customWidth="1"/>
    <col min="3" max="7" width="9.28515625" style="20" customWidth="1"/>
    <col min="8" max="8" width="82.28515625" style="20" customWidth="1"/>
    <col min="9" max="10" width="11.5703125" style="20" customWidth="1"/>
    <col min="11" max="11" width="12" style="20" customWidth="1"/>
    <col min="12" max="12" width="11.5703125" style="20" customWidth="1"/>
    <col min="13" max="16384" width="8.85546875" style="20"/>
  </cols>
  <sheetData>
    <row r="1" spans="1:17" ht="15" x14ac:dyDescent="0.25">
      <c r="A1" s="12"/>
    </row>
    <row r="2" spans="1:17" x14ac:dyDescent="0.2">
      <c r="I2" s="210" t="s">
        <v>183</v>
      </c>
      <c r="J2" s="210"/>
      <c r="K2" s="210"/>
      <c r="L2" s="210"/>
      <c r="N2" s="210" t="s">
        <v>184</v>
      </c>
      <c r="O2" s="210"/>
      <c r="P2" s="210"/>
      <c r="Q2" s="210"/>
    </row>
    <row r="3" spans="1:17" s="10" customFormat="1" ht="30" x14ac:dyDescent="0.25">
      <c r="A3" s="12" t="s">
        <v>7</v>
      </c>
      <c r="C3" s="11" t="s">
        <v>16</v>
      </c>
      <c r="D3" s="11" t="s">
        <v>8</v>
      </c>
      <c r="E3" s="11" t="s">
        <v>17</v>
      </c>
      <c r="F3" s="11" t="s">
        <v>176</v>
      </c>
      <c r="G3" s="20"/>
      <c r="H3" s="159" t="s">
        <v>6</v>
      </c>
      <c r="I3" s="10" t="s">
        <v>16</v>
      </c>
      <c r="J3" s="10" t="s">
        <v>8</v>
      </c>
      <c r="K3" s="10" t="s">
        <v>17</v>
      </c>
      <c r="L3" s="10" t="s">
        <v>176</v>
      </c>
      <c r="N3" s="10" t="s">
        <v>16</v>
      </c>
      <c r="O3" s="10" t="s">
        <v>8</v>
      </c>
      <c r="P3" s="10" t="s">
        <v>17</v>
      </c>
      <c r="Q3" s="10" t="s">
        <v>176</v>
      </c>
    </row>
    <row r="4" spans="1:17" s="10" customFormat="1" ht="15" x14ac:dyDescent="0.25">
      <c r="A4" s="10" t="s">
        <v>154</v>
      </c>
      <c r="C4" s="13" t="s">
        <v>155</v>
      </c>
      <c r="D4" s="13" t="s">
        <v>155</v>
      </c>
      <c r="E4" s="13" t="s">
        <v>155</v>
      </c>
      <c r="F4" s="142" t="s">
        <v>155</v>
      </c>
      <c r="G4" s="20"/>
      <c r="H4" s="159"/>
      <c r="I4" s="13" t="s">
        <v>155</v>
      </c>
      <c r="J4" s="13" t="s">
        <v>155</v>
      </c>
      <c r="K4" s="13" t="s">
        <v>155</v>
      </c>
      <c r="L4" s="142" t="s">
        <v>155</v>
      </c>
      <c r="N4" s="163" t="s">
        <v>155</v>
      </c>
      <c r="O4" s="163" t="s">
        <v>155</v>
      </c>
      <c r="P4" s="163" t="s">
        <v>155</v>
      </c>
      <c r="Q4" s="163" t="s">
        <v>155</v>
      </c>
    </row>
    <row r="5" spans="1:17" s="10" customFormat="1" x14ac:dyDescent="0.2">
      <c r="A5" s="10" t="s">
        <v>3</v>
      </c>
      <c r="B5" s="10" t="s">
        <v>1</v>
      </c>
      <c r="C5" s="13">
        <v>0.08</v>
      </c>
      <c r="D5" s="13">
        <v>0.06</v>
      </c>
      <c r="E5" s="13">
        <v>0.04</v>
      </c>
      <c r="F5" s="142">
        <f>D5</f>
        <v>0.06</v>
      </c>
      <c r="G5" s="20"/>
      <c r="H5" s="160" t="s">
        <v>12</v>
      </c>
      <c r="I5" s="13">
        <v>0.08</v>
      </c>
      <c r="J5" s="13">
        <v>0.06</v>
      </c>
      <c r="K5" s="13">
        <v>0.04</v>
      </c>
      <c r="L5" s="142">
        <v>0.06</v>
      </c>
      <c r="N5" s="163">
        <f>+C5-I5</f>
        <v>0</v>
      </c>
      <c r="O5" s="163">
        <f t="shared" ref="O5:O9" si="0">+D5-J5</f>
        <v>0</v>
      </c>
      <c r="P5" s="163">
        <f t="shared" ref="P5:P9" si="1">+E5-K5</f>
        <v>0</v>
      </c>
      <c r="Q5" s="163">
        <f t="shared" ref="Q5:Q9" si="2">+F5-L5</f>
        <v>0</v>
      </c>
    </row>
    <row r="6" spans="1:17" s="10" customFormat="1" x14ac:dyDescent="0.2">
      <c r="A6" s="10" t="s">
        <v>9</v>
      </c>
      <c r="B6" s="10" t="s">
        <v>2</v>
      </c>
      <c r="C6" s="14">
        <f>$D6</f>
        <v>15</v>
      </c>
      <c r="D6" s="15">
        <v>15</v>
      </c>
      <c r="E6" s="14">
        <f>$D6</f>
        <v>15</v>
      </c>
      <c r="F6" s="143">
        <f t="shared" ref="F6:F68" si="3">D6</f>
        <v>15</v>
      </c>
      <c r="G6" s="20"/>
      <c r="H6" s="160" t="s">
        <v>12</v>
      </c>
      <c r="I6" s="14">
        <v>15</v>
      </c>
      <c r="J6" s="15">
        <v>15</v>
      </c>
      <c r="K6" s="14">
        <v>15</v>
      </c>
      <c r="L6" s="143">
        <v>15</v>
      </c>
      <c r="N6" s="164">
        <f t="shared" ref="N6:N9" si="4">+C6-I6</f>
        <v>0</v>
      </c>
      <c r="O6" s="164">
        <f t="shared" si="0"/>
        <v>0</v>
      </c>
      <c r="P6" s="164">
        <f t="shared" si="1"/>
        <v>0</v>
      </c>
      <c r="Q6" s="164">
        <f t="shared" si="2"/>
        <v>0</v>
      </c>
    </row>
    <row r="7" spans="1:17" s="10" customFormat="1" x14ac:dyDescent="0.2">
      <c r="A7" s="10" t="s">
        <v>107</v>
      </c>
      <c r="B7" s="10" t="s">
        <v>37</v>
      </c>
      <c r="C7" s="14">
        <f>$D7</f>
        <v>2018</v>
      </c>
      <c r="D7" s="181">
        <v>2018</v>
      </c>
      <c r="E7" s="14">
        <f>$D7</f>
        <v>2018</v>
      </c>
      <c r="F7" s="14">
        <f t="shared" si="3"/>
        <v>2018</v>
      </c>
      <c r="G7" s="20"/>
      <c r="H7" s="158" t="s">
        <v>113</v>
      </c>
      <c r="I7" s="14">
        <v>2017</v>
      </c>
      <c r="J7" s="16">
        <v>2017</v>
      </c>
      <c r="K7" s="14">
        <v>2017</v>
      </c>
      <c r="L7" s="14">
        <v>2017</v>
      </c>
      <c r="N7" s="164">
        <f t="shared" si="4"/>
        <v>1</v>
      </c>
      <c r="O7" s="164">
        <f t="shared" si="0"/>
        <v>1</v>
      </c>
      <c r="P7" s="164">
        <f t="shared" si="1"/>
        <v>1</v>
      </c>
      <c r="Q7" s="164">
        <f t="shared" si="2"/>
        <v>1</v>
      </c>
    </row>
    <row r="8" spans="1:17" s="10" customFormat="1" x14ac:dyDescent="0.2">
      <c r="A8" s="10" t="s">
        <v>27</v>
      </c>
      <c r="B8" s="10" t="s">
        <v>2</v>
      </c>
      <c r="C8" s="14">
        <f>$D8</f>
        <v>4</v>
      </c>
      <c r="D8" s="15">
        <v>4</v>
      </c>
      <c r="E8" s="14">
        <f>$D8</f>
        <v>4</v>
      </c>
      <c r="F8" s="143">
        <f t="shared" si="3"/>
        <v>4</v>
      </c>
      <c r="G8" s="20"/>
      <c r="H8" s="160" t="s">
        <v>32</v>
      </c>
      <c r="I8" s="14">
        <v>4</v>
      </c>
      <c r="J8" s="15">
        <v>4</v>
      </c>
      <c r="K8" s="14">
        <v>4</v>
      </c>
      <c r="L8" s="143">
        <v>4</v>
      </c>
      <c r="N8" s="164">
        <f t="shared" si="4"/>
        <v>0</v>
      </c>
      <c r="O8" s="164">
        <f t="shared" si="0"/>
        <v>0</v>
      </c>
      <c r="P8" s="164">
        <f t="shared" si="1"/>
        <v>0</v>
      </c>
      <c r="Q8" s="164">
        <f t="shared" si="2"/>
        <v>0</v>
      </c>
    </row>
    <row r="9" spans="1:17" s="10" customFormat="1" x14ac:dyDescent="0.2">
      <c r="A9" s="20" t="s">
        <v>77</v>
      </c>
      <c r="B9" s="10" t="s">
        <v>37</v>
      </c>
      <c r="C9" s="20">
        <f>C7+C8</f>
        <v>2022</v>
      </c>
      <c r="D9" s="20">
        <f t="shared" ref="D9:E9" si="5">D7+D8</f>
        <v>2022</v>
      </c>
      <c r="E9" s="20">
        <f t="shared" si="5"/>
        <v>2022</v>
      </c>
      <c r="F9" s="21">
        <f t="shared" si="3"/>
        <v>2022</v>
      </c>
      <c r="G9" s="20"/>
      <c r="H9" s="158"/>
      <c r="I9" s="20">
        <v>2021</v>
      </c>
      <c r="J9" s="20">
        <v>2021</v>
      </c>
      <c r="K9" s="20">
        <v>2021</v>
      </c>
      <c r="L9" s="21">
        <v>2021</v>
      </c>
      <c r="N9" s="164">
        <f t="shared" si="4"/>
        <v>1</v>
      </c>
      <c r="O9" s="164">
        <f t="shared" si="0"/>
        <v>1</v>
      </c>
      <c r="P9" s="164">
        <f t="shared" si="1"/>
        <v>1</v>
      </c>
      <c r="Q9" s="164">
        <f t="shared" si="2"/>
        <v>1</v>
      </c>
    </row>
    <row r="10" spans="1:17" s="10" customFormat="1" x14ac:dyDescent="0.2">
      <c r="A10" s="20"/>
      <c r="B10" s="20"/>
      <c r="C10" s="20"/>
      <c r="D10" s="20"/>
      <c r="E10" s="21"/>
      <c r="F10" s="21"/>
      <c r="G10" s="20"/>
      <c r="H10" s="158"/>
      <c r="I10" s="20"/>
      <c r="J10" s="20"/>
      <c r="K10" s="21"/>
      <c r="L10" s="21"/>
      <c r="N10" s="165"/>
      <c r="O10" s="165"/>
      <c r="P10" s="165"/>
      <c r="Q10" s="165"/>
    </row>
    <row r="11" spans="1:17" x14ac:dyDescent="0.2">
      <c r="A11" s="10" t="s">
        <v>233</v>
      </c>
      <c r="B11" s="10" t="s">
        <v>0</v>
      </c>
      <c r="C11" s="14">
        <f>$D11</f>
        <v>6952</v>
      </c>
      <c r="D11" s="182">
        <f>3476/0.5</f>
        <v>6952</v>
      </c>
      <c r="E11" s="14">
        <f>$D11</f>
        <v>6952</v>
      </c>
      <c r="F11" s="47">
        <f t="shared" si="3"/>
        <v>6952</v>
      </c>
      <c r="H11" s="158" t="s">
        <v>226</v>
      </c>
      <c r="I11" s="14">
        <v>6900</v>
      </c>
      <c r="J11" s="17">
        <v>6900</v>
      </c>
      <c r="K11" s="14">
        <v>6900</v>
      </c>
      <c r="L11" s="47">
        <v>6900</v>
      </c>
      <c r="N11" s="164">
        <f>+C11-I11</f>
        <v>52</v>
      </c>
      <c r="O11" s="164">
        <f t="shared" ref="O11:O15" si="6">+D11-J11</f>
        <v>52</v>
      </c>
      <c r="P11" s="164">
        <f t="shared" ref="P11:P15" si="7">+E11-K11</f>
        <v>52</v>
      </c>
      <c r="Q11" s="164">
        <f t="shared" ref="Q11:Q15" si="8">+F11-L11</f>
        <v>52</v>
      </c>
    </row>
    <row r="12" spans="1:17" x14ac:dyDescent="0.2">
      <c r="A12" s="10" t="s">
        <v>234</v>
      </c>
      <c r="B12" s="10" t="s">
        <v>0</v>
      </c>
      <c r="C12" s="14">
        <f>$D12</f>
        <v>3960.0000000000005</v>
      </c>
      <c r="D12" s="182">
        <f>1.8*2.2*1000</f>
        <v>3960.0000000000005</v>
      </c>
      <c r="E12" s="14">
        <f>$D12</f>
        <v>3960.0000000000005</v>
      </c>
      <c r="F12" s="47">
        <f t="shared" si="3"/>
        <v>3960.0000000000005</v>
      </c>
      <c r="H12" s="158" t="s">
        <v>178</v>
      </c>
      <c r="I12" s="14">
        <v>3740</v>
      </c>
      <c r="J12" s="17">
        <v>3740</v>
      </c>
      <c r="K12" s="14">
        <v>3740</v>
      </c>
      <c r="L12" s="47">
        <v>3740</v>
      </c>
      <c r="N12" s="164">
        <f t="shared" ref="N12:N15" si="9">+C12-I12</f>
        <v>220.00000000000045</v>
      </c>
      <c r="O12" s="164">
        <f t="shared" si="6"/>
        <v>220.00000000000045</v>
      </c>
      <c r="P12" s="164">
        <f t="shared" si="7"/>
        <v>220.00000000000045</v>
      </c>
      <c r="Q12" s="164">
        <f t="shared" si="8"/>
        <v>220.00000000000045</v>
      </c>
    </row>
    <row r="13" spans="1:17" x14ac:dyDescent="0.2">
      <c r="A13" s="10" t="s">
        <v>50</v>
      </c>
      <c r="B13" s="10" t="s">
        <v>0</v>
      </c>
      <c r="C13" s="14">
        <f>$D13</f>
        <v>2991.9999999999995</v>
      </c>
      <c r="D13" s="17">
        <f>$D$11-$D$12</f>
        <v>2991.9999999999995</v>
      </c>
      <c r="E13" s="14">
        <f>$D13</f>
        <v>2991.9999999999995</v>
      </c>
      <c r="F13" s="47">
        <f t="shared" si="3"/>
        <v>2991.9999999999995</v>
      </c>
      <c r="H13" s="158" t="s">
        <v>159</v>
      </c>
      <c r="I13" s="14">
        <v>3160</v>
      </c>
      <c r="J13" s="17">
        <v>3160</v>
      </c>
      <c r="K13" s="14">
        <v>3160</v>
      </c>
      <c r="L13" s="47">
        <v>3160</v>
      </c>
      <c r="N13" s="164">
        <f t="shared" si="9"/>
        <v>-168.00000000000045</v>
      </c>
      <c r="O13" s="164">
        <f t="shared" si="6"/>
        <v>-168.00000000000045</v>
      </c>
      <c r="P13" s="164">
        <f t="shared" si="7"/>
        <v>-168.00000000000045</v>
      </c>
      <c r="Q13" s="164">
        <f t="shared" si="8"/>
        <v>-168.00000000000045</v>
      </c>
    </row>
    <row r="14" spans="1:17" x14ac:dyDescent="0.2">
      <c r="A14" s="20" t="s">
        <v>38</v>
      </c>
      <c r="B14" s="10" t="s">
        <v>0</v>
      </c>
      <c r="C14" s="14">
        <f>$D14</f>
        <v>400</v>
      </c>
      <c r="D14" s="22">
        <v>400</v>
      </c>
      <c r="E14" s="14">
        <f>$D14</f>
        <v>400</v>
      </c>
      <c r="F14" s="21">
        <f t="shared" si="3"/>
        <v>400</v>
      </c>
      <c r="H14" s="158" t="s">
        <v>113</v>
      </c>
      <c r="I14" s="14">
        <v>400</v>
      </c>
      <c r="J14" s="22">
        <v>400</v>
      </c>
      <c r="K14" s="14">
        <v>400</v>
      </c>
      <c r="L14" s="21">
        <v>400</v>
      </c>
      <c r="N14" s="164">
        <f t="shared" si="9"/>
        <v>0</v>
      </c>
      <c r="O14" s="164">
        <f t="shared" si="6"/>
        <v>0</v>
      </c>
      <c r="P14" s="164">
        <f t="shared" si="7"/>
        <v>0</v>
      </c>
      <c r="Q14" s="164">
        <f t="shared" si="8"/>
        <v>0</v>
      </c>
    </row>
    <row r="15" spans="1:17" x14ac:dyDescent="0.2">
      <c r="A15" s="20" t="s">
        <v>39</v>
      </c>
      <c r="B15" s="10" t="s">
        <v>0</v>
      </c>
      <c r="C15" s="14">
        <f>$D15</f>
        <v>50</v>
      </c>
      <c r="D15" s="22">
        <v>50</v>
      </c>
      <c r="E15" s="14">
        <f>$D15</f>
        <v>50</v>
      </c>
      <c r="F15" s="21">
        <f t="shared" si="3"/>
        <v>50</v>
      </c>
      <c r="H15" s="158" t="s">
        <v>113</v>
      </c>
      <c r="I15" s="14">
        <v>50</v>
      </c>
      <c r="J15" s="22">
        <v>50</v>
      </c>
      <c r="K15" s="14">
        <v>50</v>
      </c>
      <c r="L15" s="21">
        <v>50</v>
      </c>
      <c r="N15" s="164">
        <f t="shared" si="9"/>
        <v>0</v>
      </c>
      <c r="O15" s="164">
        <f t="shared" si="6"/>
        <v>0</v>
      </c>
      <c r="P15" s="164">
        <f t="shared" si="7"/>
        <v>0</v>
      </c>
      <c r="Q15" s="164">
        <f t="shared" si="8"/>
        <v>0</v>
      </c>
    </row>
    <row r="16" spans="1:17" x14ac:dyDescent="0.2">
      <c r="A16" s="10" t="s">
        <v>28</v>
      </c>
      <c r="B16" s="10" t="s">
        <v>30</v>
      </c>
      <c r="C16" s="18">
        <v>4.5999999999999999E-3</v>
      </c>
      <c r="D16" s="183">
        <v>1.3599999999999999E-2</v>
      </c>
      <c r="E16" s="18">
        <v>1.55E-2</v>
      </c>
      <c r="F16" s="144">
        <f t="shared" si="3"/>
        <v>1.3599999999999999E-2</v>
      </c>
      <c r="H16" s="160" t="s">
        <v>236</v>
      </c>
      <c r="I16" s="18">
        <v>0</v>
      </c>
      <c r="J16" s="19">
        <v>1.0999999999999999E-2</v>
      </c>
      <c r="K16" s="18">
        <v>2.5000000000000001E-2</v>
      </c>
      <c r="L16" s="144">
        <v>1.0999999999999999E-2</v>
      </c>
      <c r="N16" s="166">
        <f>+C16-I16</f>
        <v>4.5999999999999999E-3</v>
      </c>
      <c r="O16" s="166">
        <f t="shared" ref="O16:O17" si="10">+D16-J16</f>
        <v>2.5999999999999999E-3</v>
      </c>
      <c r="P16" s="166">
        <f t="shared" ref="P16:P17" si="11">+E16-K16</f>
        <v>-9.5000000000000015E-3</v>
      </c>
      <c r="Q16" s="166">
        <f t="shared" ref="Q16:Q17" si="12">+F16-L16</f>
        <v>2.5999999999999999E-3</v>
      </c>
    </row>
    <row r="17" spans="1:17" ht="28.5" x14ac:dyDescent="0.2">
      <c r="A17" s="10" t="s">
        <v>29</v>
      </c>
      <c r="B17" s="10" t="s">
        <v>30</v>
      </c>
      <c r="C17" s="184">
        <f>+C16</f>
        <v>4.5999999999999999E-3</v>
      </c>
      <c r="D17" s="144">
        <f>+D16</f>
        <v>1.3599999999999999E-2</v>
      </c>
      <c r="E17" s="184">
        <f>+E16</f>
        <v>1.55E-2</v>
      </c>
      <c r="F17" s="144">
        <f t="shared" si="3"/>
        <v>1.3599999999999999E-2</v>
      </c>
      <c r="H17" s="160" t="s">
        <v>34</v>
      </c>
      <c r="I17" s="18">
        <v>0</v>
      </c>
      <c r="J17" s="19">
        <v>1.0999999999999999E-2</v>
      </c>
      <c r="K17" s="18">
        <v>2.5000000000000001E-2</v>
      </c>
      <c r="L17" s="144">
        <v>1.0999999999999999E-2</v>
      </c>
      <c r="N17" s="166">
        <f t="shared" ref="N17" si="13">+C17-I17</f>
        <v>4.5999999999999999E-3</v>
      </c>
      <c r="O17" s="166">
        <f t="shared" si="10"/>
        <v>2.5999999999999999E-3</v>
      </c>
      <c r="P17" s="166">
        <f t="shared" si="11"/>
        <v>-9.5000000000000015E-3</v>
      </c>
      <c r="Q17" s="166">
        <f t="shared" si="12"/>
        <v>2.5999999999999999E-3</v>
      </c>
    </row>
    <row r="18" spans="1:17" x14ac:dyDescent="0.2">
      <c r="F18" s="21"/>
      <c r="H18" s="158"/>
      <c r="L18" s="21"/>
      <c r="N18" s="165"/>
      <c r="O18" s="165"/>
      <c r="P18" s="165"/>
      <c r="Q18" s="165"/>
    </row>
    <row r="19" spans="1:17" ht="15" x14ac:dyDescent="0.25">
      <c r="A19" s="12" t="s">
        <v>114</v>
      </c>
      <c r="F19" s="21"/>
      <c r="H19" s="158"/>
      <c r="L19" s="21"/>
      <c r="N19" s="165"/>
      <c r="O19" s="165"/>
      <c r="P19" s="165"/>
      <c r="Q19" s="165"/>
    </row>
    <row r="20" spans="1:17" x14ac:dyDescent="0.2">
      <c r="A20" s="23" t="s">
        <v>23</v>
      </c>
      <c r="F20" s="21"/>
      <c r="H20" s="158"/>
      <c r="L20" s="21"/>
      <c r="N20" s="165"/>
      <c r="O20" s="165"/>
      <c r="P20" s="165"/>
      <c r="Q20" s="165"/>
    </row>
    <row r="21" spans="1:17" ht="42.75" x14ac:dyDescent="0.2">
      <c r="A21" s="24" t="s">
        <v>33</v>
      </c>
      <c r="B21" s="24"/>
      <c r="C21" s="25">
        <v>0.08</v>
      </c>
      <c r="D21" s="26">
        <v>0.1</v>
      </c>
      <c r="E21" s="25">
        <v>0.12</v>
      </c>
      <c r="F21" s="152">
        <v>3.056E-2</v>
      </c>
      <c r="G21" s="154"/>
      <c r="H21" s="158" t="s">
        <v>235</v>
      </c>
      <c r="I21" s="25">
        <v>0.08</v>
      </c>
      <c r="J21" s="26">
        <v>0.1</v>
      </c>
      <c r="K21" s="25">
        <v>0.12</v>
      </c>
      <c r="L21" s="152">
        <v>1.9550000000000001E-2</v>
      </c>
      <c r="N21" s="163">
        <f t="shared" ref="N21:N23" si="14">+C21-I21</f>
        <v>0</v>
      </c>
      <c r="O21" s="163">
        <f t="shared" ref="O21:O23" si="15">+D21-J21</f>
        <v>0</v>
      </c>
      <c r="P21" s="163">
        <f t="shared" ref="P21:P23" si="16">+E21-K21</f>
        <v>0</v>
      </c>
      <c r="Q21" s="163">
        <f t="shared" ref="Q21:Q23" si="17">+F21-L21</f>
        <v>1.1009999999999999E-2</v>
      </c>
    </row>
    <row r="22" spans="1:17" x14ac:dyDescent="0.2">
      <c r="A22" s="24" t="s">
        <v>46</v>
      </c>
      <c r="B22" s="24"/>
      <c r="C22" s="25">
        <v>0.95</v>
      </c>
      <c r="D22" s="27">
        <v>1</v>
      </c>
      <c r="E22" s="25">
        <v>1.05</v>
      </c>
      <c r="F22" s="145">
        <f t="shared" si="3"/>
        <v>1</v>
      </c>
      <c r="H22" s="158" t="s">
        <v>103</v>
      </c>
      <c r="I22" s="25">
        <v>0.95</v>
      </c>
      <c r="J22" s="27">
        <v>1</v>
      </c>
      <c r="K22" s="25">
        <v>1.05</v>
      </c>
      <c r="L22" s="145">
        <v>1</v>
      </c>
      <c r="N22" s="163">
        <f t="shared" si="14"/>
        <v>0</v>
      </c>
      <c r="O22" s="163">
        <f t="shared" si="15"/>
        <v>0</v>
      </c>
      <c r="P22" s="163">
        <f t="shared" si="16"/>
        <v>0</v>
      </c>
      <c r="Q22" s="163">
        <f t="shared" si="17"/>
        <v>0</v>
      </c>
    </row>
    <row r="23" spans="1:17" x14ac:dyDescent="0.2">
      <c r="A23" s="24" t="s">
        <v>171</v>
      </c>
      <c r="B23" s="24" t="s">
        <v>68</v>
      </c>
      <c r="C23" s="28">
        <f>$D$23</f>
        <v>1.2</v>
      </c>
      <c r="D23" s="29">
        <v>1.2</v>
      </c>
      <c r="E23" s="28">
        <f>$D$23</f>
        <v>1.2</v>
      </c>
      <c r="F23" s="146">
        <f t="shared" si="3"/>
        <v>1.2</v>
      </c>
      <c r="H23" s="158" t="s">
        <v>26</v>
      </c>
      <c r="I23" s="28">
        <v>1.2</v>
      </c>
      <c r="J23" s="29">
        <v>1.2</v>
      </c>
      <c r="K23" s="28">
        <v>1.2</v>
      </c>
      <c r="L23" s="146">
        <v>1.2</v>
      </c>
      <c r="N23" s="163">
        <f t="shared" si="14"/>
        <v>0</v>
      </c>
      <c r="O23" s="163">
        <f t="shared" si="15"/>
        <v>0</v>
      </c>
      <c r="P23" s="163">
        <f t="shared" si="16"/>
        <v>0</v>
      </c>
      <c r="Q23" s="163">
        <f t="shared" si="17"/>
        <v>0</v>
      </c>
    </row>
    <row r="24" spans="1:17" x14ac:dyDescent="0.2">
      <c r="F24" s="21"/>
      <c r="H24" s="158"/>
      <c r="L24" s="21"/>
      <c r="N24" s="165"/>
      <c r="O24" s="165"/>
      <c r="P24" s="165"/>
      <c r="Q24" s="165"/>
    </row>
    <row r="25" spans="1:17" x14ac:dyDescent="0.2">
      <c r="A25" s="23" t="s">
        <v>175</v>
      </c>
      <c r="F25" s="21"/>
      <c r="H25" s="158"/>
      <c r="L25" s="21"/>
      <c r="N25" s="165"/>
      <c r="O25" s="165"/>
      <c r="P25" s="165"/>
      <c r="Q25" s="165"/>
    </row>
    <row r="26" spans="1:17" x14ac:dyDescent="0.2">
      <c r="A26" s="24" t="s">
        <v>130</v>
      </c>
      <c r="B26" s="24" t="s">
        <v>4</v>
      </c>
      <c r="C26" s="30">
        <f>$D26</f>
        <v>300</v>
      </c>
      <c r="D26" s="31">
        <v>300</v>
      </c>
      <c r="E26" s="30">
        <f>$D26</f>
        <v>300</v>
      </c>
      <c r="F26" s="147">
        <f t="shared" si="3"/>
        <v>300</v>
      </c>
      <c r="H26" s="158"/>
      <c r="I26" s="30">
        <v>300</v>
      </c>
      <c r="J26" s="31">
        <v>300</v>
      </c>
      <c r="K26" s="30">
        <v>300</v>
      </c>
      <c r="L26" s="147">
        <v>300</v>
      </c>
      <c r="N26" s="164">
        <f t="shared" ref="N26:N28" si="18">+C26-I26</f>
        <v>0</v>
      </c>
      <c r="O26" s="164">
        <f t="shared" ref="O26:O28" si="19">+D26-J26</f>
        <v>0</v>
      </c>
      <c r="P26" s="164">
        <f t="shared" ref="P26:P28" si="20">+E26-K26</f>
        <v>0</v>
      </c>
      <c r="Q26" s="164">
        <f t="shared" ref="Q26:Q28" si="21">+F26-L26</f>
        <v>0</v>
      </c>
    </row>
    <row r="27" spans="1:17" s="24" customFormat="1" ht="13.5" customHeight="1" x14ac:dyDescent="0.25">
      <c r="A27" s="24" t="s">
        <v>137</v>
      </c>
      <c r="B27" s="24" t="s">
        <v>4</v>
      </c>
      <c r="C27" s="30">
        <f>$D27</f>
        <v>550</v>
      </c>
      <c r="D27" s="31">
        <v>550</v>
      </c>
      <c r="E27" s="30">
        <f>$D27</f>
        <v>550</v>
      </c>
      <c r="F27" s="147">
        <f t="shared" si="3"/>
        <v>550</v>
      </c>
      <c r="G27" s="32"/>
      <c r="H27" s="158" t="s">
        <v>172</v>
      </c>
      <c r="I27" s="30">
        <v>550</v>
      </c>
      <c r="J27" s="31">
        <v>550</v>
      </c>
      <c r="K27" s="30">
        <v>550</v>
      </c>
      <c r="L27" s="147">
        <v>550</v>
      </c>
      <c r="N27" s="164">
        <f t="shared" si="18"/>
        <v>0</v>
      </c>
      <c r="O27" s="164">
        <f t="shared" si="19"/>
        <v>0</v>
      </c>
      <c r="P27" s="164">
        <f t="shared" si="20"/>
        <v>0</v>
      </c>
      <c r="Q27" s="164">
        <f t="shared" si="21"/>
        <v>0</v>
      </c>
    </row>
    <row r="28" spans="1:17" s="24" customFormat="1" ht="13.5" customHeight="1" x14ac:dyDescent="0.25">
      <c r="A28" s="24" t="s">
        <v>5</v>
      </c>
      <c r="B28" s="24" t="s">
        <v>15</v>
      </c>
      <c r="C28" s="30">
        <f>$D28</f>
        <v>90</v>
      </c>
      <c r="D28" s="33">
        <v>90</v>
      </c>
      <c r="E28" s="30">
        <f>$D28</f>
        <v>90</v>
      </c>
      <c r="F28" s="37">
        <f t="shared" si="3"/>
        <v>90</v>
      </c>
      <c r="G28" s="32"/>
      <c r="H28" s="158" t="s">
        <v>101</v>
      </c>
      <c r="I28" s="30">
        <v>90</v>
      </c>
      <c r="J28" s="33">
        <v>90</v>
      </c>
      <c r="K28" s="30">
        <v>90</v>
      </c>
      <c r="L28" s="37">
        <v>90</v>
      </c>
      <c r="N28" s="164">
        <f t="shared" si="18"/>
        <v>0</v>
      </c>
      <c r="O28" s="164">
        <f t="shared" si="19"/>
        <v>0</v>
      </c>
      <c r="P28" s="164">
        <f t="shared" si="20"/>
        <v>0</v>
      </c>
      <c r="Q28" s="164">
        <f t="shared" si="21"/>
        <v>0</v>
      </c>
    </row>
    <row r="29" spans="1:17" x14ac:dyDescent="0.2">
      <c r="F29" s="21"/>
      <c r="H29" s="158"/>
      <c r="L29" s="21"/>
      <c r="N29" s="165"/>
      <c r="O29" s="165"/>
      <c r="P29" s="165"/>
      <c r="Q29" s="165"/>
    </row>
    <row r="30" spans="1:17" ht="15" x14ac:dyDescent="0.25">
      <c r="A30" s="12" t="s">
        <v>115</v>
      </c>
      <c r="F30" s="21"/>
      <c r="H30" s="158"/>
      <c r="L30" s="21"/>
      <c r="N30" s="165"/>
      <c r="O30" s="165"/>
      <c r="P30" s="165"/>
      <c r="Q30" s="165"/>
    </row>
    <row r="31" spans="1:17" s="24" customFormat="1" ht="29.25" x14ac:dyDescent="0.25">
      <c r="A31" s="24" t="s">
        <v>87</v>
      </c>
      <c r="B31" s="24" t="s">
        <v>2</v>
      </c>
      <c r="C31" s="33">
        <v>4</v>
      </c>
      <c r="D31" s="34">
        <v>2</v>
      </c>
      <c r="E31" s="33">
        <v>0</v>
      </c>
      <c r="F31" s="148">
        <f t="shared" si="3"/>
        <v>2</v>
      </c>
      <c r="G31" s="32"/>
      <c r="H31" s="158" t="s">
        <v>102</v>
      </c>
      <c r="I31" s="33">
        <v>4</v>
      </c>
      <c r="J31" s="34">
        <v>2</v>
      </c>
      <c r="K31" s="33">
        <v>0</v>
      </c>
      <c r="L31" s="148">
        <v>2</v>
      </c>
      <c r="N31" s="164">
        <f t="shared" ref="N31:N33" si="22">+C31-I31</f>
        <v>0</v>
      </c>
      <c r="O31" s="164">
        <f t="shared" ref="O31:O33" si="23">+D31-J31</f>
        <v>0</v>
      </c>
      <c r="P31" s="164">
        <f t="shared" ref="P31:P33" si="24">+E31-K31</f>
        <v>0</v>
      </c>
      <c r="Q31" s="164">
        <f t="shared" ref="Q31:Q33" si="25">+F31-L31</f>
        <v>0</v>
      </c>
    </row>
    <row r="32" spans="1:17" s="24" customFormat="1" ht="15" x14ac:dyDescent="0.25">
      <c r="A32" s="24" t="s">
        <v>170</v>
      </c>
      <c r="C32" s="25">
        <v>0.09</v>
      </c>
      <c r="D32" s="27">
        <v>0.12</v>
      </c>
      <c r="E32" s="25">
        <v>0.15</v>
      </c>
      <c r="F32" s="151">
        <v>0</v>
      </c>
      <c r="G32" s="32"/>
      <c r="H32" s="158" t="s">
        <v>113</v>
      </c>
      <c r="I32" s="25">
        <v>0.09</v>
      </c>
      <c r="J32" s="27">
        <v>0.12</v>
      </c>
      <c r="K32" s="25">
        <v>0.15</v>
      </c>
      <c r="L32" s="151">
        <v>0</v>
      </c>
      <c r="N32" s="163">
        <f t="shared" si="22"/>
        <v>0</v>
      </c>
      <c r="O32" s="163">
        <f t="shared" si="23"/>
        <v>0</v>
      </c>
      <c r="P32" s="163">
        <f t="shared" si="24"/>
        <v>0</v>
      </c>
      <c r="Q32" s="163">
        <f t="shared" si="25"/>
        <v>0</v>
      </c>
    </row>
    <row r="33" spans="1:17" s="24" customFormat="1" ht="15" x14ac:dyDescent="0.25">
      <c r="A33" s="24" t="s">
        <v>13</v>
      </c>
      <c r="C33" s="26">
        <v>0.04</v>
      </c>
      <c r="D33" s="26">
        <v>0.05</v>
      </c>
      <c r="E33" s="26">
        <v>0.06</v>
      </c>
      <c r="F33" s="152">
        <v>0</v>
      </c>
      <c r="G33" s="32"/>
      <c r="H33" s="158" t="s">
        <v>113</v>
      </c>
      <c r="I33" s="26">
        <v>0.04</v>
      </c>
      <c r="J33" s="26">
        <v>0.05</v>
      </c>
      <c r="K33" s="26">
        <v>0.06</v>
      </c>
      <c r="L33" s="152">
        <v>0</v>
      </c>
      <c r="N33" s="163">
        <f t="shared" si="22"/>
        <v>0</v>
      </c>
      <c r="O33" s="163">
        <f t="shared" si="23"/>
        <v>0</v>
      </c>
      <c r="P33" s="163">
        <f t="shared" si="24"/>
        <v>0</v>
      </c>
      <c r="Q33" s="163">
        <f t="shared" si="25"/>
        <v>0</v>
      </c>
    </row>
    <row r="34" spans="1:17" s="24" customFormat="1" ht="15" x14ac:dyDescent="0.25">
      <c r="C34" s="69"/>
      <c r="D34" s="69"/>
      <c r="E34" s="69"/>
      <c r="F34" s="69"/>
      <c r="G34" s="32"/>
      <c r="H34" s="158"/>
      <c r="I34" s="69"/>
      <c r="J34" s="69"/>
      <c r="K34" s="69"/>
      <c r="L34" s="69"/>
      <c r="N34" s="167"/>
      <c r="O34" s="167"/>
      <c r="P34" s="167"/>
      <c r="Q34" s="167"/>
    </row>
    <row r="35" spans="1:17" s="24" customFormat="1" ht="15" x14ac:dyDescent="0.25">
      <c r="A35" s="23" t="s">
        <v>175</v>
      </c>
      <c r="C35" s="69"/>
      <c r="D35" s="69"/>
      <c r="E35" s="69"/>
      <c r="F35" s="69"/>
      <c r="G35" s="32"/>
      <c r="H35" s="158"/>
      <c r="I35" s="69"/>
      <c r="J35" s="69"/>
      <c r="K35" s="69"/>
      <c r="L35" s="69"/>
      <c r="N35" s="167"/>
      <c r="O35" s="167"/>
      <c r="P35" s="167"/>
      <c r="Q35" s="167"/>
    </row>
    <row r="36" spans="1:17" s="24" customFormat="1" ht="15" x14ac:dyDescent="0.25">
      <c r="A36" s="24" t="s">
        <v>136</v>
      </c>
      <c r="B36" s="24" t="s">
        <v>4</v>
      </c>
      <c r="C36" s="30">
        <f>$D36</f>
        <v>800</v>
      </c>
      <c r="D36" s="31">
        <v>800</v>
      </c>
      <c r="E36" s="30">
        <f>$D36</f>
        <v>800</v>
      </c>
      <c r="F36" s="147">
        <f t="shared" si="3"/>
        <v>800</v>
      </c>
      <c r="G36" s="32"/>
      <c r="H36" s="158" t="s">
        <v>113</v>
      </c>
      <c r="I36" s="30">
        <v>800</v>
      </c>
      <c r="J36" s="31">
        <v>800</v>
      </c>
      <c r="K36" s="30">
        <v>800</v>
      </c>
      <c r="L36" s="147">
        <v>800</v>
      </c>
      <c r="N36" s="164">
        <f t="shared" ref="N36:N37" si="26">+C36-I36</f>
        <v>0</v>
      </c>
      <c r="O36" s="164">
        <f t="shared" ref="O36:O37" si="27">+D36-J36</f>
        <v>0</v>
      </c>
      <c r="P36" s="164">
        <f t="shared" ref="P36:P37" si="28">+E36-K36</f>
        <v>0</v>
      </c>
      <c r="Q36" s="164">
        <f t="shared" ref="Q36:Q37" si="29">+F36-L36</f>
        <v>0</v>
      </c>
    </row>
    <row r="37" spans="1:17" s="24" customFormat="1" ht="15" x14ac:dyDescent="0.25">
      <c r="A37" s="24" t="s">
        <v>5</v>
      </c>
      <c r="B37" s="24" t="s">
        <v>15</v>
      </c>
      <c r="C37" s="30">
        <f>$D37</f>
        <v>90</v>
      </c>
      <c r="D37" s="31">
        <v>90</v>
      </c>
      <c r="E37" s="30">
        <f>$D37</f>
        <v>90</v>
      </c>
      <c r="F37" s="147">
        <f t="shared" si="3"/>
        <v>90</v>
      </c>
      <c r="G37" s="32"/>
      <c r="H37" s="158" t="s">
        <v>101</v>
      </c>
      <c r="I37" s="30">
        <v>90</v>
      </c>
      <c r="J37" s="31">
        <v>90</v>
      </c>
      <c r="K37" s="30">
        <v>90</v>
      </c>
      <c r="L37" s="147">
        <v>90</v>
      </c>
      <c r="N37" s="164">
        <f t="shared" si="26"/>
        <v>0</v>
      </c>
      <c r="O37" s="164">
        <f t="shared" si="27"/>
        <v>0</v>
      </c>
      <c r="P37" s="164">
        <f t="shared" si="28"/>
        <v>0</v>
      </c>
      <c r="Q37" s="164">
        <f t="shared" si="29"/>
        <v>0</v>
      </c>
    </row>
    <row r="38" spans="1:17" x14ac:dyDescent="0.2">
      <c r="F38" s="21"/>
      <c r="H38" s="158"/>
      <c r="L38" s="21"/>
      <c r="N38" s="165"/>
      <c r="O38" s="165"/>
      <c r="P38" s="165"/>
      <c r="Q38" s="165"/>
    </row>
    <row r="39" spans="1:17" ht="15" x14ac:dyDescent="0.25">
      <c r="A39" s="12" t="s">
        <v>116</v>
      </c>
      <c r="F39" s="21"/>
      <c r="H39" s="158"/>
      <c r="L39" s="21"/>
      <c r="N39" s="165"/>
      <c r="O39" s="165"/>
      <c r="P39" s="165"/>
      <c r="Q39" s="165"/>
    </row>
    <row r="40" spans="1:17" s="24" customFormat="1" ht="15" x14ac:dyDescent="0.25">
      <c r="A40" s="24" t="s">
        <v>153</v>
      </c>
      <c r="B40" s="36" t="s">
        <v>0</v>
      </c>
      <c r="C40" s="33">
        <v>0</v>
      </c>
      <c r="D40" s="33">
        <v>50</v>
      </c>
      <c r="E40" s="33">
        <v>75</v>
      </c>
      <c r="F40" s="150">
        <v>0</v>
      </c>
      <c r="G40" s="32"/>
      <c r="H40" s="158" t="s">
        <v>113</v>
      </c>
      <c r="I40" s="33">
        <v>0</v>
      </c>
      <c r="J40" s="33">
        <v>50</v>
      </c>
      <c r="K40" s="33">
        <v>75</v>
      </c>
      <c r="L40" s="150">
        <v>0</v>
      </c>
      <c r="N40" s="164">
        <f t="shared" ref="N40:N41" si="30">+C40-I40</f>
        <v>0</v>
      </c>
      <c r="O40" s="164">
        <f t="shared" ref="O40:O41" si="31">+D40-J40</f>
        <v>0</v>
      </c>
      <c r="P40" s="164">
        <f t="shared" ref="P40:P41" si="32">+E40-K40</f>
        <v>0</v>
      </c>
      <c r="Q40" s="164">
        <f t="shared" ref="Q40:Q41" si="33">+F40-L40</f>
        <v>0</v>
      </c>
    </row>
    <row r="41" spans="1:17" s="24" customFormat="1" ht="29.25" x14ac:dyDescent="0.25">
      <c r="A41" s="24" t="s">
        <v>118</v>
      </c>
      <c r="B41" s="24" t="s">
        <v>69</v>
      </c>
      <c r="C41" s="37">
        <f>Assumptions!C$40*0.02</f>
        <v>0</v>
      </c>
      <c r="D41" s="37">
        <f>Assumptions!D$40*0.02</f>
        <v>1</v>
      </c>
      <c r="E41" s="33">
        <v>2</v>
      </c>
      <c r="F41" s="150">
        <v>0</v>
      </c>
      <c r="G41" s="32"/>
      <c r="H41" s="160" t="s">
        <v>182</v>
      </c>
      <c r="I41" s="37">
        <v>0</v>
      </c>
      <c r="J41" s="37">
        <v>1</v>
      </c>
      <c r="K41" s="33">
        <v>2</v>
      </c>
      <c r="L41" s="150">
        <v>0</v>
      </c>
      <c r="N41" s="164">
        <f t="shared" si="30"/>
        <v>0</v>
      </c>
      <c r="O41" s="164">
        <f t="shared" si="31"/>
        <v>0</v>
      </c>
      <c r="P41" s="164">
        <f t="shared" si="32"/>
        <v>0</v>
      </c>
      <c r="Q41" s="164">
        <f t="shared" si="33"/>
        <v>0</v>
      </c>
    </row>
    <row r="42" spans="1:17" x14ac:dyDescent="0.2">
      <c r="F42" s="21"/>
      <c r="H42" s="158"/>
      <c r="L42" s="21"/>
      <c r="N42" s="165"/>
      <c r="O42" s="165"/>
      <c r="P42" s="165"/>
      <c r="Q42" s="165"/>
    </row>
    <row r="43" spans="1:17" ht="15" x14ac:dyDescent="0.25">
      <c r="A43" s="38" t="s">
        <v>90</v>
      </c>
      <c r="B43" s="24"/>
      <c r="C43" s="24"/>
      <c r="D43" s="39"/>
      <c r="E43" s="24"/>
      <c r="F43" s="148"/>
      <c r="H43" s="158"/>
      <c r="I43" s="24"/>
      <c r="J43" s="39"/>
      <c r="K43" s="24"/>
      <c r="L43" s="148"/>
      <c r="N43" s="168"/>
      <c r="O43" s="169"/>
      <c r="P43" s="168"/>
      <c r="Q43" s="169"/>
    </row>
    <row r="44" spans="1:17" x14ac:dyDescent="0.2">
      <c r="A44" s="24" t="s">
        <v>59</v>
      </c>
      <c r="B44" s="24" t="s">
        <v>70</v>
      </c>
      <c r="C44" s="170">
        <v>-11.821</v>
      </c>
      <c r="D44" s="197">
        <f>AVERAGE(E44,C44)</f>
        <v>-10.8355</v>
      </c>
      <c r="E44" s="196">
        <v>-9.85</v>
      </c>
      <c r="F44" s="149">
        <f t="shared" si="3"/>
        <v>-10.8355</v>
      </c>
      <c r="H44" s="161" t="s">
        <v>227</v>
      </c>
      <c r="I44" s="40">
        <v>-11</v>
      </c>
      <c r="J44" s="41">
        <v>-8.86</v>
      </c>
      <c r="K44" s="40">
        <v>-7.55</v>
      </c>
      <c r="L44" s="149">
        <v>-8.86</v>
      </c>
      <c r="N44" s="164">
        <f t="shared" ref="N44:N48" si="34">+C44-I44</f>
        <v>-0.82099999999999973</v>
      </c>
      <c r="O44" s="164">
        <f t="shared" ref="O44:O48" si="35">+D44-J44</f>
        <v>-1.9755000000000003</v>
      </c>
      <c r="P44" s="164">
        <f t="shared" ref="P44:P48" si="36">+E44-K44</f>
        <v>-2.2999999999999998</v>
      </c>
      <c r="Q44" s="164">
        <f t="shared" ref="Q44:Q48" si="37">+F44-L44</f>
        <v>-1.9755000000000003</v>
      </c>
    </row>
    <row r="45" spans="1:17" x14ac:dyDescent="0.2">
      <c r="A45" s="24" t="s">
        <v>181</v>
      </c>
      <c r="B45" s="24" t="s">
        <v>70</v>
      </c>
      <c r="C45" s="171">
        <f>-0.817</f>
        <v>-0.81699999999999995</v>
      </c>
      <c r="D45" s="198">
        <f>AVERAGE(C45,E45)</f>
        <v>-0.60949999999999993</v>
      </c>
      <c r="E45" s="171">
        <v>-0.40200000000000002</v>
      </c>
      <c r="F45" s="149">
        <f t="shared" si="3"/>
        <v>-0.60949999999999993</v>
      </c>
      <c r="H45" s="161" t="s">
        <v>227</v>
      </c>
      <c r="I45" s="41"/>
      <c r="J45" s="41"/>
      <c r="K45" s="41"/>
      <c r="L45" s="149"/>
      <c r="N45" s="164">
        <f t="shared" si="34"/>
        <v>-0.81699999999999995</v>
      </c>
      <c r="O45" s="164">
        <f t="shared" si="35"/>
        <v>-0.60949999999999993</v>
      </c>
      <c r="P45" s="164">
        <f t="shared" si="36"/>
        <v>-0.40200000000000002</v>
      </c>
      <c r="Q45" s="164">
        <f t="shared" si="37"/>
        <v>-0.60949999999999993</v>
      </c>
    </row>
    <row r="46" spans="1:17" x14ac:dyDescent="0.2">
      <c r="A46" s="24" t="s">
        <v>61</v>
      </c>
      <c r="B46" s="24" t="s">
        <v>70</v>
      </c>
      <c r="C46" s="170">
        <v>0</v>
      </c>
      <c r="D46" s="171">
        <v>0</v>
      </c>
      <c r="E46" s="170">
        <v>0</v>
      </c>
      <c r="F46" s="149">
        <f t="shared" si="3"/>
        <v>0</v>
      </c>
      <c r="H46" s="161" t="s">
        <v>227</v>
      </c>
      <c r="I46" s="40">
        <v>-0.18</v>
      </c>
      <c r="J46" s="41">
        <v>-0.15</v>
      </c>
      <c r="K46" s="40">
        <v>-0.12</v>
      </c>
      <c r="L46" s="149">
        <v>-0.15</v>
      </c>
      <c r="N46" s="164">
        <f t="shared" si="34"/>
        <v>0.18</v>
      </c>
      <c r="O46" s="164">
        <f t="shared" si="35"/>
        <v>0.15</v>
      </c>
      <c r="P46" s="164">
        <f t="shared" si="36"/>
        <v>0.12</v>
      </c>
      <c r="Q46" s="164">
        <f t="shared" si="37"/>
        <v>0.15</v>
      </c>
    </row>
    <row r="47" spans="1:17" x14ac:dyDescent="0.2">
      <c r="A47" s="24" t="s">
        <v>60</v>
      </c>
      <c r="B47" s="24" t="s">
        <v>70</v>
      </c>
      <c r="C47" s="170">
        <v>0</v>
      </c>
      <c r="D47" s="171">
        <v>0</v>
      </c>
      <c r="E47" s="170">
        <v>0</v>
      </c>
      <c r="F47" s="149">
        <f t="shared" si="3"/>
        <v>0</v>
      </c>
      <c r="H47" s="161" t="s">
        <v>227</v>
      </c>
      <c r="I47" s="40">
        <v>-0.05</v>
      </c>
      <c r="J47" s="41">
        <v>-3.7499999999999999E-2</v>
      </c>
      <c r="K47" s="40">
        <v>-2.5000000000000001E-2</v>
      </c>
      <c r="L47" s="149">
        <v>-3.7499999999999999E-2</v>
      </c>
      <c r="N47" s="164">
        <f t="shared" si="34"/>
        <v>0.05</v>
      </c>
      <c r="O47" s="164">
        <f t="shared" si="35"/>
        <v>3.7499999999999999E-2</v>
      </c>
      <c r="P47" s="164">
        <f t="shared" si="36"/>
        <v>2.5000000000000001E-2</v>
      </c>
      <c r="Q47" s="164">
        <f t="shared" si="37"/>
        <v>3.7499999999999999E-2</v>
      </c>
    </row>
    <row r="48" spans="1:17" x14ac:dyDescent="0.2">
      <c r="A48" s="24" t="s">
        <v>106</v>
      </c>
      <c r="B48" s="24" t="s">
        <v>2</v>
      </c>
      <c r="C48" s="40">
        <v>1</v>
      </c>
      <c r="D48" s="41">
        <v>1</v>
      </c>
      <c r="E48" s="40">
        <v>1</v>
      </c>
      <c r="F48" s="149">
        <f t="shared" si="3"/>
        <v>1</v>
      </c>
      <c r="H48" s="158" t="s">
        <v>111</v>
      </c>
      <c r="I48" s="40">
        <v>1</v>
      </c>
      <c r="J48" s="41">
        <v>1</v>
      </c>
      <c r="K48" s="40">
        <v>1</v>
      </c>
      <c r="L48" s="149">
        <v>1</v>
      </c>
      <c r="N48" s="164">
        <f t="shared" si="34"/>
        <v>0</v>
      </c>
      <c r="O48" s="164">
        <f t="shared" si="35"/>
        <v>0</v>
      </c>
      <c r="P48" s="164">
        <f t="shared" si="36"/>
        <v>0</v>
      </c>
      <c r="Q48" s="164">
        <f t="shared" si="37"/>
        <v>0</v>
      </c>
    </row>
    <row r="49" spans="1:17" x14ac:dyDescent="0.2">
      <c r="F49" s="21"/>
      <c r="H49" s="158"/>
      <c r="L49" s="21"/>
      <c r="N49" s="165"/>
      <c r="O49" s="165"/>
      <c r="P49" s="165"/>
      <c r="Q49" s="165"/>
    </row>
    <row r="50" spans="1:17" ht="15" x14ac:dyDescent="0.25">
      <c r="A50" s="38" t="s">
        <v>88</v>
      </c>
      <c r="F50" s="21"/>
      <c r="H50" s="158"/>
      <c r="L50" s="21"/>
      <c r="N50" s="165"/>
      <c r="O50" s="165"/>
      <c r="P50" s="165"/>
      <c r="Q50" s="165"/>
    </row>
    <row r="51" spans="1:17" x14ac:dyDescent="0.2">
      <c r="A51" s="24" t="s">
        <v>62</v>
      </c>
      <c r="B51" s="24" t="s">
        <v>69</v>
      </c>
      <c r="C51" s="139">
        <f>$D51</f>
        <v>1.0457681921986959E-2</v>
      </c>
      <c r="D51" s="172">
        <f>833*12/1000000*CPI!D36</f>
        <v>1.0457681921986959E-2</v>
      </c>
      <c r="E51" s="139">
        <f>$D51</f>
        <v>1.0457681921986959E-2</v>
      </c>
      <c r="F51" s="141">
        <f t="shared" si="3"/>
        <v>1.0457681921986959E-2</v>
      </c>
      <c r="H51" s="161" t="s">
        <v>229</v>
      </c>
      <c r="I51" s="139">
        <v>9.9959999999999997E-3</v>
      </c>
      <c r="J51" s="140">
        <v>9.9959999999999997E-3</v>
      </c>
      <c r="K51" s="139">
        <v>9.9959999999999997E-3</v>
      </c>
      <c r="L51" s="141">
        <v>9.9959999999999997E-3</v>
      </c>
      <c r="N51" s="164">
        <f t="shared" ref="N51:N58" si="38">+C51-I51</f>
        <v>4.6168192198695925E-4</v>
      </c>
      <c r="O51" s="164">
        <f t="shared" ref="O51:O58" si="39">+D51-J51</f>
        <v>4.6168192198695925E-4</v>
      </c>
      <c r="P51" s="164">
        <f t="shared" ref="P51:P58" si="40">+E51-K51</f>
        <v>4.6168192198695925E-4</v>
      </c>
      <c r="Q51" s="164">
        <f t="shared" ref="Q51:Q58" si="41">+F51-L51</f>
        <v>4.6168192198695925E-4</v>
      </c>
    </row>
    <row r="52" spans="1:17" x14ac:dyDescent="0.2">
      <c r="A52" s="24" t="s">
        <v>63</v>
      </c>
      <c r="B52" s="24" t="s">
        <v>69</v>
      </c>
      <c r="C52" s="139">
        <f>$D52</f>
        <v>2.510848000477061E-2</v>
      </c>
      <c r="D52" s="172">
        <f>2000*12/1000000*CPI!D36</f>
        <v>2.510848000477061E-2</v>
      </c>
      <c r="E52" s="139">
        <f>$D52</f>
        <v>2.510848000477061E-2</v>
      </c>
      <c r="F52" s="141">
        <f t="shared" si="3"/>
        <v>2.510848000477061E-2</v>
      </c>
      <c r="H52" s="161" t="s">
        <v>229</v>
      </c>
      <c r="I52" s="139">
        <v>2.4E-2</v>
      </c>
      <c r="J52" s="140">
        <v>2.4E-2</v>
      </c>
      <c r="K52" s="139">
        <v>2.4E-2</v>
      </c>
      <c r="L52" s="141">
        <v>2.4E-2</v>
      </c>
      <c r="N52" s="164">
        <f t="shared" si="38"/>
        <v>1.1084800047706095E-3</v>
      </c>
      <c r="O52" s="164">
        <f t="shared" si="39"/>
        <v>1.1084800047706095E-3</v>
      </c>
      <c r="P52" s="164">
        <f t="shared" si="40"/>
        <v>1.1084800047706095E-3</v>
      </c>
      <c r="Q52" s="164">
        <f t="shared" si="41"/>
        <v>1.1084800047706095E-3</v>
      </c>
    </row>
    <row r="53" spans="1:17" x14ac:dyDescent="0.2">
      <c r="A53" s="24" t="s">
        <v>64</v>
      </c>
      <c r="B53" s="24" t="s">
        <v>69</v>
      </c>
      <c r="C53" s="139">
        <f>$D53</f>
        <v>0.43481610248261499</v>
      </c>
      <c r="D53" s="172">
        <f>34635*12/1000000*CPI!D36</f>
        <v>0.43481610248261499</v>
      </c>
      <c r="E53" s="139">
        <f>$D53</f>
        <v>0.43481610248261499</v>
      </c>
      <c r="F53" s="141">
        <f t="shared" si="3"/>
        <v>0.43481610248261499</v>
      </c>
      <c r="H53" s="161" t="s">
        <v>229</v>
      </c>
      <c r="I53" s="139">
        <v>0.41561999999999999</v>
      </c>
      <c r="J53" s="140">
        <v>0.41561999999999999</v>
      </c>
      <c r="K53" s="139">
        <v>0.41561999999999999</v>
      </c>
      <c r="L53" s="141">
        <v>0.41561999999999999</v>
      </c>
      <c r="N53" s="164">
        <f t="shared" si="38"/>
        <v>1.9196102482614996E-2</v>
      </c>
      <c r="O53" s="164">
        <f t="shared" si="39"/>
        <v>1.9196102482614996E-2</v>
      </c>
      <c r="P53" s="164">
        <f t="shared" si="40"/>
        <v>1.9196102482614996E-2</v>
      </c>
      <c r="Q53" s="164">
        <f t="shared" si="41"/>
        <v>1.9196102482614996E-2</v>
      </c>
    </row>
    <row r="54" spans="1:17" x14ac:dyDescent="0.2">
      <c r="A54" s="24" t="s">
        <v>81</v>
      </c>
      <c r="B54" s="24" t="s">
        <v>69</v>
      </c>
      <c r="C54" s="139">
        <f>$D54</f>
        <v>0</v>
      </c>
      <c r="D54" s="140">
        <v>0</v>
      </c>
      <c r="E54" s="139">
        <f>$D54</f>
        <v>0</v>
      </c>
      <c r="F54" s="141">
        <f t="shared" si="3"/>
        <v>0</v>
      </c>
      <c r="H54" s="158" t="s">
        <v>100</v>
      </c>
      <c r="I54" s="139">
        <v>0</v>
      </c>
      <c r="J54" s="140">
        <v>0</v>
      </c>
      <c r="K54" s="139">
        <v>0</v>
      </c>
      <c r="L54" s="141">
        <v>0</v>
      </c>
      <c r="N54" s="164">
        <f t="shared" si="38"/>
        <v>0</v>
      </c>
      <c r="O54" s="164">
        <f t="shared" si="39"/>
        <v>0</v>
      </c>
      <c r="P54" s="164">
        <f t="shared" si="40"/>
        <v>0</v>
      </c>
      <c r="Q54" s="164">
        <f t="shared" si="41"/>
        <v>0</v>
      </c>
    </row>
    <row r="55" spans="1:17" x14ac:dyDescent="0.2">
      <c r="A55" s="24" t="s">
        <v>85</v>
      </c>
      <c r="B55" s="24" t="s">
        <v>69</v>
      </c>
      <c r="C55" s="172">
        <v>-0.2</v>
      </c>
      <c r="D55" s="141">
        <f>AVERAGE(C55,E55)</f>
        <v>-0.15000000000000002</v>
      </c>
      <c r="E55" s="172">
        <v>-0.1</v>
      </c>
      <c r="F55" s="141">
        <f t="shared" si="3"/>
        <v>-0.15000000000000002</v>
      </c>
      <c r="H55" s="161" t="s">
        <v>228</v>
      </c>
      <c r="I55" s="140">
        <v>-0.2</v>
      </c>
      <c r="J55" s="141">
        <v>-0.15000000000000002</v>
      </c>
      <c r="K55" s="140">
        <v>-0.1</v>
      </c>
      <c r="L55" s="141">
        <v>-0.15000000000000002</v>
      </c>
      <c r="N55" s="164">
        <f t="shared" si="38"/>
        <v>0</v>
      </c>
      <c r="O55" s="164">
        <f t="shared" si="39"/>
        <v>0</v>
      </c>
      <c r="P55" s="164">
        <f t="shared" si="40"/>
        <v>0</v>
      </c>
      <c r="Q55" s="164">
        <f t="shared" si="41"/>
        <v>0</v>
      </c>
    </row>
    <row r="56" spans="1:17" x14ac:dyDescent="0.2">
      <c r="A56" s="24" t="s">
        <v>91</v>
      </c>
      <c r="B56" s="24" t="s">
        <v>69</v>
      </c>
      <c r="C56" s="139">
        <f>$D56</f>
        <v>-0.05</v>
      </c>
      <c r="D56" s="140">
        <f>-150000/3/1000000</f>
        <v>-0.05</v>
      </c>
      <c r="E56" s="139">
        <f>$D56</f>
        <v>-0.05</v>
      </c>
      <c r="F56" s="141">
        <f t="shared" si="3"/>
        <v>-0.05</v>
      </c>
      <c r="H56" s="158" t="s">
        <v>99</v>
      </c>
      <c r="I56" s="139">
        <v>-0.05</v>
      </c>
      <c r="J56" s="140">
        <v>-0.05</v>
      </c>
      <c r="K56" s="139">
        <v>-0.05</v>
      </c>
      <c r="L56" s="141">
        <v>-0.05</v>
      </c>
      <c r="N56" s="164">
        <f t="shared" si="38"/>
        <v>0</v>
      </c>
      <c r="O56" s="164">
        <f t="shared" si="39"/>
        <v>0</v>
      </c>
      <c r="P56" s="164">
        <f t="shared" si="40"/>
        <v>0</v>
      </c>
      <c r="Q56" s="164">
        <f t="shared" si="41"/>
        <v>0</v>
      </c>
    </row>
    <row r="57" spans="1:17" x14ac:dyDescent="0.2">
      <c r="A57" s="24" t="s">
        <v>82</v>
      </c>
      <c r="B57" s="24" t="s">
        <v>70</v>
      </c>
      <c r="C57" s="139">
        <f>$D57</f>
        <v>-0.16</v>
      </c>
      <c r="D57" s="172">
        <v>-0.16</v>
      </c>
      <c r="E57" s="139">
        <f>$D57</f>
        <v>-0.16</v>
      </c>
      <c r="F57" s="141">
        <f t="shared" si="3"/>
        <v>-0.16</v>
      </c>
      <c r="H57" s="161" t="s">
        <v>229</v>
      </c>
      <c r="I57" s="139">
        <v>-0.16</v>
      </c>
      <c r="J57" s="140">
        <v>-0.16</v>
      </c>
      <c r="K57" s="139">
        <v>-0.16</v>
      </c>
      <c r="L57" s="141">
        <v>-0.16</v>
      </c>
      <c r="N57" s="164">
        <f t="shared" si="38"/>
        <v>0</v>
      </c>
      <c r="O57" s="164">
        <f t="shared" si="39"/>
        <v>0</v>
      </c>
      <c r="P57" s="164">
        <f t="shared" si="40"/>
        <v>0</v>
      </c>
      <c r="Q57" s="164">
        <f t="shared" si="41"/>
        <v>0</v>
      </c>
    </row>
    <row r="58" spans="1:17" x14ac:dyDescent="0.2">
      <c r="A58" s="24" t="s">
        <v>106</v>
      </c>
      <c r="B58" s="24" t="s">
        <v>2</v>
      </c>
      <c r="C58" s="40">
        <v>3</v>
      </c>
      <c r="D58" s="41">
        <v>3</v>
      </c>
      <c r="E58" s="40">
        <v>3</v>
      </c>
      <c r="F58" s="149">
        <f t="shared" si="3"/>
        <v>3</v>
      </c>
      <c r="H58" s="158" t="s">
        <v>112</v>
      </c>
      <c r="I58" s="40">
        <v>3</v>
      </c>
      <c r="J58" s="41">
        <v>3</v>
      </c>
      <c r="K58" s="40">
        <v>3</v>
      </c>
      <c r="L58" s="149">
        <v>3</v>
      </c>
      <c r="N58" s="164">
        <f t="shared" si="38"/>
        <v>0</v>
      </c>
      <c r="O58" s="164">
        <f t="shared" si="39"/>
        <v>0</v>
      </c>
      <c r="P58" s="164">
        <f t="shared" si="40"/>
        <v>0</v>
      </c>
      <c r="Q58" s="164">
        <f t="shared" si="41"/>
        <v>0</v>
      </c>
    </row>
    <row r="59" spans="1:17" x14ac:dyDescent="0.2">
      <c r="F59" s="21"/>
      <c r="H59" s="158"/>
      <c r="L59" s="21"/>
      <c r="N59" s="165"/>
      <c r="O59" s="165"/>
      <c r="P59" s="165"/>
      <c r="Q59" s="165"/>
    </row>
    <row r="60" spans="1:17" ht="15" x14ac:dyDescent="0.25">
      <c r="A60" s="38" t="s">
        <v>89</v>
      </c>
      <c r="F60" s="21"/>
      <c r="H60" s="158"/>
      <c r="L60" s="21"/>
      <c r="N60" s="165"/>
      <c r="O60" s="165"/>
      <c r="P60" s="165"/>
      <c r="Q60" s="165"/>
    </row>
    <row r="61" spans="1:17" x14ac:dyDescent="0.2">
      <c r="A61" s="37" t="s">
        <v>84</v>
      </c>
      <c r="B61" s="24" t="s">
        <v>70</v>
      </c>
      <c r="C61" s="40">
        <f>D61*0.75</f>
        <v>-0.28875000000000001</v>
      </c>
      <c r="D61" s="40">
        <v>-0.38500000000000001</v>
      </c>
      <c r="E61" s="40">
        <f>D61*1.5</f>
        <v>-0.57750000000000001</v>
      </c>
      <c r="F61" s="42">
        <f t="shared" si="3"/>
        <v>-0.38500000000000001</v>
      </c>
      <c r="H61" s="158" t="s">
        <v>98</v>
      </c>
      <c r="I61" s="40">
        <v>-0.28875000000000001</v>
      </c>
      <c r="J61" s="40">
        <v>-0.38500000000000001</v>
      </c>
      <c r="K61" s="40">
        <v>-0.57750000000000001</v>
      </c>
      <c r="L61" s="42">
        <v>-0.38500000000000001</v>
      </c>
      <c r="N61" s="164">
        <f t="shared" ref="N61:N64" si="42">+C61-I61</f>
        <v>0</v>
      </c>
      <c r="O61" s="164">
        <f t="shared" ref="O61:O64" si="43">+D61-J61</f>
        <v>0</v>
      </c>
      <c r="P61" s="164">
        <f t="shared" ref="P61:P64" si="44">+E61-K61</f>
        <v>0</v>
      </c>
      <c r="Q61" s="164">
        <f t="shared" ref="Q61:Q64" si="45">+F61-L61</f>
        <v>0</v>
      </c>
    </row>
    <row r="62" spans="1:17" x14ac:dyDescent="0.2">
      <c r="A62" s="24" t="s">
        <v>80</v>
      </c>
      <c r="B62" s="24" t="s">
        <v>70</v>
      </c>
      <c r="C62" s="173">
        <f>+D62*1.5</f>
        <v>-0.83550000000000013</v>
      </c>
      <c r="D62" s="170">
        <v>-0.55700000000000005</v>
      </c>
      <c r="E62" s="173">
        <f>D62*0.5</f>
        <v>-0.27850000000000003</v>
      </c>
      <c r="F62" s="42">
        <f t="shared" si="3"/>
        <v>-0.55700000000000005</v>
      </c>
      <c r="H62" s="161" t="s">
        <v>228</v>
      </c>
      <c r="I62" s="40">
        <v>-1</v>
      </c>
      <c r="J62" s="42">
        <v>-0.75</v>
      </c>
      <c r="K62" s="40">
        <v>-0.5</v>
      </c>
      <c r="L62" s="42">
        <v>-0.75</v>
      </c>
      <c r="N62" s="164">
        <f t="shared" si="42"/>
        <v>0.16449999999999987</v>
      </c>
      <c r="O62" s="164">
        <f t="shared" si="43"/>
        <v>0.19299999999999995</v>
      </c>
      <c r="P62" s="164">
        <f t="shared" si="44"/>
        <v>0.22149999999999997</v>
      </c>
      <c r="Q62" s="164">
        <f t="shared" si="45"/>
        <v>0.19299999999999995</v>
      </c>
    </row>
    <row r="63" spans="1:17" x14ac:dyDescent="0.2">
      <c r="A63" s="24" t="s">
        <v>83</v>
      </c>
      <c r="B63" s="24" t="s">
        <v>70</v>
      </c>
      <c r="C63" s="173">
        <f>+D63*1.5</f>
        <v>-1.0050000000000001</v>
      </c>
      <c r="D63" s="170">
        <v>-0.67</v>
      </c>
      <c r="E63" s="173">
        <f>D63*0.5</f>
        <v>-0.33500000000000002</v>
      </c>
      <c r="F63" s="42">
        <f t="shared" si="3"/>
        <v>-0.67</v>
      </c>
      <c r="H63" s="161" t="s">
        <v>228</v>
      </c>
      <c r="I63" s="40">
        <v>-0.5</v>
      </c>
      <c r="J63" s="42">
        <v>-0.375</v>
      </c>
      <c r="K63" s="40">
        <v>-0.25</v>
      </c>
      <c r="L63" s="42">
        <v>-0.375</v>
      </c>
      <c r="N63" s="164">
        <f t="shared" si="42"/>
        <v>-0.50500000000000012</v>
      </c>
      <c r="O63" s="164">
        <f t="shared" si="43"/>
        <v>-0.29500000000000004</v>
      </c>
      <c r="P63" s="164">
        <f t="shared" si="44"/>
        <v>-8.500000000000002E-2</v>
      </c>
      <c r="Q63" s="164">
        <f t="shared" si="45"/>
        <v>-0.29500000000000004</v>
      </c>
    </row>
    <row r="64" spans="1:17" x14ac:dyDescent="0.2">
      <c r="A64" s="24" t="s">
        <v>106</v>
      </c>
      <c r="B64" s="24" t="s">
        <v>2</v>
      </c>
      <c r="C64" s="40">
        <v>1</v>
      </c>
      <c r="D64" s="41">
        <v>1</v>
      </c>
      <c r="E64" s="40">
        <v>1</v>
      </c>
      <c r="F64" s="149">
        <f t="shared" si="3"/>
        <v>1</v>
      </c>
      <c r="H64" s="158" t="s">
        <v>111</v>
      </c>
      <c r="I64" s="40">
        <v>1</v>
      </c>
      <c r="J64" s="41">
        <v>1</v>
      </c>
      <c r="K64" s="40">
        <v>1</v>
      </c>
      <c r="L64" s="149">
        <v>1</v>
      </c>
      <c r="N64" s="164">
        <f t="shared" si="42"/>
        <v>0</v>
      </c>
      <c r="O64" s="164">
        <f t="shared" si="43"/>
        <v>0</v>
      </c>
      <c r="P64" s="164">
        <f t="shared" si="44"/>
        <v>0</v>
      </c>
      <c r="Q64" s="164">
        <f t="shared" si="45"/>
        <v>0</v>
      </c>
    </row>
    <row r="65" spans="1:17" x14ac:dyDescent="0.2">
      <c r="F65" s="21"/>
      <c r="H65" s="158"/>
      <c r="L65" s="21"/>
      <c r="N65" s="165"/>
      <c r="O65" s="165"/>
      <c r="P65" s="165"/>
      <c r="Q65" s="165"/>
    </row>
    <row r="66" spans="1:17" s="24" customFormat="1" ht="15" x14ac:dyDescent="0.25">
      <c r="A66" s="38" t="s">
        <v>92</v>
      </c>
      <c r="F66" s="37"/>
      <c r="G66" s="32"/>
      <c r="H66" s="162"/>
      <c r="L66" s="37"/>
      <c r="N66" s="168"/>
      <c r="O66" s="168"/>
      <c r="P66" s="168"/>
      <c r="Q66" s="168"/>
    </row>
    <row r="67" spans="1:17" x14ac:dyDescent="0.2">
      <c r="A67" s="37" t="s">
        <v>93</v>
      </c>
      <c r="B67" s="24" t="s">
        <v>70</v>
      </c>
      <c r="C67" s="209">
        <f>-14*0.39</f>
        <v>-5.46</v>
      </c>
      <c r="D67" s="40">
        <f>+C67*0.5</f>
        <v>-2.73</v>
      </c>
      <c r="E67" s="43">
        <v>0</v>
      </c>
      <c r="F67" s="65">
        <f t="shared" si="3"/>
        <v>-2.73</v>
      </c>
      <c r="H67" s="158" t="s">
        <v>113</v>
      </c>
      <c r="I67" s="43">
        <v>0</v>
      </c>
      <c r="J67" s="43">
        <v>0</v>
      </c>
      <c r="K67" s="43">
        <v>0</v>
      </c>
      <c r="L67" s="65">
        <v>0</v>
      </c>
      <c r="N67" s="164">
        <f t="shared" ref="N67:N68" si="46">+C67-I67</f>
        <v>-5.46</v>
      </c>
      <c r="O67" s="164">
        <f t="shared" ref="O67:O68" si="47">+D67-J67</f>
        <v>-2.73</v>
      </c>
      <c r="P67" s="164">
        <f t="shared" ref="P67:P68" si="48">+E67-K67</f>
        <v>0</v>
      </c>
      <c r="Q67" s="164">
        <f t="shared" ref="Q67:Q68" si="49">+F67-L67</f>
        <v>-2.73</v>
      </c>
    </row>
    <row r="68" spans="1:17" x14ac:dyDescent="0.2">
      <c r="A68" s="24" t="s">
        <v>106</v>
      </c>
      <c r="B68" s="24" t="s">
        <v>2</v>
      </c>
      <c r="C68" s="40">
        <v>1</v>
      </c>
      <c r="D68" s="41">
        <v>1</v>
      </c>
      <c r="E68" s="40">
        <v>1</v>
      </c>
      <c r="F68" s="149">
        <f t="shared" si="3"/>
        <v>1</v>
      </c>
      <c r="H68" s="158" t="s">
        <v>111</v>
      </c>
      <c r="I68" s="40">
        <v>1</v>
      </c>
      <c r="J68" s="41">
        <v>1</v>
      </c>
      <c r="K68" s="40">
        <v>1</v>
      </c>
      <c r="L68" s="149">
        <v>1</v>
      </c>
      <c r="N68" s="164">
        <f t="shared" si="46"/>
        <v>0</v>
      </c>
      <c r="O68" s="164">
        <f t="shared" si="47"/>
        <v>0</v>
      </c>
      <c r="P68" s="164">
        <f t="shared" si="48"/>
        <v>0</v>
      </c>
      <c r="Q68" s="164">
        <f t="shared" si="49"/>
        <v>0</v>
      </c>
    </row>
    <row r="69" spans="1:17" x14ac:dyDescent="0.2">
      <c r="F69" s="21"/>
    </row>
    <row r="81" spans="1:1" x14ac:dyDescent="0.2">
      <c r="A81" s="20">
        <v>0</v>
      </c>
    </row>
  </sheetData>
  <mergeCells count="2">
    <mergeCell ref="I2:L2"/>
    <mergeCell ref="N2:Q2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E9E08-0144-4B24-B184-88316E723BAF}">
  <dimension ref="A1:E36"/>
  <sheetViews>
    <sheetView workbookViewId="0"/>
  </sheetViews>
  <sheetFormatPr defaultRowHeight="15" x14ac:dyDescent="0.25"/>
  <cols>
    <col min="2" max="2" width="9.5703125" bestFit="1" customWidth="1"/>
  </cols>
  <sheetData>
    <row r="1" spans="1:2" x14ac:dyDescent="0.25">
      <c r="A1" t="s">
        <v>186</v>
      </c>
    </row>
    <row r="2" spans="1:2" x14ac:dyDescent="0.25">
      <c r="A2" t="s">
        <v>187</v>
      </c>
      <c r="B2" t="s">
        <v>188</v>
      </c>
    </row>
    <row r="3" spans="1:2" x14ac:dyDescent="0.25">
      <c r="A3" t="s">
        <v>189</v>
      </c>
      <c r="B3" s="174">
        <v>896.41109300000005</v>
      </c>
    </row>
    <row r="4" spans="1:2" x14ac:dyDescent="0.25">
      <c r="A4" t="s">
        <v>190</v>
      </c>
      <c r="B4" s="174">
        <v>906.19902100000002</v>
      </c>
    </row>
    <row r="5" spans="1:2" x14ac:dyDescent="0.25">
      <c r="A5" t="s">
        <v>191</v>
      </c>
      <c r="B5" s="174">
        <v>927.40619900000002</v>
      </c>
    </row>
    <row r="6" spans="1:2" x14ac:dyDescent="0.25">
      <c r="A6" t="s">
        <v>192</v>
      </c>
      <c r="B6" s="174">
        <v>934.74714500000005</v>
      </c>
    </row>
    <row r="7" spans="1:2" x14ac:dyDescent="0.25">
      <c r="A7" t="s">
        <v>193</v>
      </c>
      <c r="B7" s="174">
        <v>943.71941300000003</v>
      </c>
    </row>
    <row r="8" spans="1:2" x14ac:dyDescent="0.25">
      <c r="A8" t="s">
        <v>194</v>
      </c>
      <c r="B8" s="174">
        <v>947.79771600000004</v>
      </c>
    </row>
    <row r="9" spans="1:2" x14ac:dyDescent="0.25">
      <c r="A9" t="s">
        <v>195</v>
      </c>
      <c r="B9" s="174">
        <v>944.53507300000001</v>
      </c>
    </row>
    <row r="10" spans="1:2" x14ac:dyDescent="0.25">
      <c r="A10" t="s">
        <v>196</v>
      </c>
      <c r="B10" s="174">
        <v>949.42903799999999</v>
      </c>
    </row>
    <row r="11" spans="1:2" x14ac:dyDescent="0.25">
      <c r="A11" t="s">
        <v>197</v>
      </c>
      <c r="B11" s="174">
        <v>952.69168000000002</v>
      </c>
    </row>
    <row r="12" spans="1:2" x14ac:dyDescent="0.25">
      <c r="A12" t="s">
        <v>198</v>
      </c>
      <c r="B12" s="174">
        <v>955.13866199999995</v>
      </c>
    </row>
    <row r="13" spans="1:2" x14ac:dyDescent="0.25">
      <c r="A13" t="s">
        <v>199</v>
      </c>
      <c r="B13" s="174">
        <v>953.507341</v>
      </c>
    </row>
    <row r="14" spans="1:2" x14ac:dyDescent="0.25">
      <c r="A14" t="s">
        <v>200</v>
      </c>
      <c r="B14" s="174">
        <v>957.585644</v>
      </c>
    </row>
    <row r="15" spans="1:2" x14ac:dyDescent="0.25">
      <c r="A15" t="s">
        <v>201</v>
      </c>
      <c r="B15" s="174">
        <v>959.21696599999996</v>
      </c>
    </row>
    <row r="16" spans="1:2" x14ac:dyDescent="0.25">
      <c r="A16" t="s">
        <v>202</v>
      </c>
      <c r="B16" s="174">
        <v>968.18923299999994</v>
      </c>
    </row>
    <row r="17" spans="1:5" x14ac:dyDescent="0.25">
      <c r="A17" t="s">
        <v>203</v>
      </c>
      <c r="B17" s="174">
        <v>969.00489400000004</v>
      </c>
    </row>
    <row r="18" spans="1:5" x14ac:dyDescent="0.25">
      <c r="A18" t="s">
        <v>204</v>
      </c>
      <c r="B18" s="174">
        <v>972.26753699999995</v>
      </c>
    </row>
    <row r="19" spans="1:5" x14ac:dyDescent="0.25">
      <c r="A19" t="s">
        <v>205</v>
      </c>
      <c r="B19" s="174">
        <v>974.714519</v>
      </c>
    </row>
    <row r="20" spans="1:5" x14ac:dyDescent="0.25">
      <c r="A20" t="s">
        <v>206</v>
      </c>
      <c r="B20" s="174">
        <v>977.97716200000002</v>
      </c>
    </row>
    <row r="21" spans="1:5" x14ac:dyDescent="0.25">
      <c r="A21" t="s">
        <v>207</v>
      </c>
      <c r="B21" s="174">
        <v>976.34583999999995</v>
      </c>
    </row>
    <row r="22" spans="1:5" x14ac:dyDescent="0.25">
      <c r="A22" t="s">
        <v>208</v>
      </c>
      <c r="B22" s="174">
        <v>974.714519</v>
      </c>
    </row>
    <row r="23" spans="1:5" x14ac:dyDescent="0.25">
      <c r="A23" t="s">
        <v>209</v>
      </c>
      <c r="B23" s="174">
        <v>978.792822</v>
      </c>
    </row>
    <row r="24" spans="1:5" x14ac:dyDescent="0.25">
      <c r="A24" t="s">
        <v>210</v>
      </c>
      <c r="B24" s="174">
        <v>982.05546500000003</v>
      </c>
    </row>
    <row r="25" spans="1:5" x14ac:dyDescent="0.25">
      <c r="A25" t="s">
        <v>211</v>
      </c>
      <c r="B25" s="174">
        <v>977.16150100000004</v>
      </c>
    </row>
    <row r="26" spans="1:5" x14ac:dyDescent="0.25">
      <c r="A26" t="s">
        <v>212</v>
      </c>
      <c r="B26" s="174">
        <v>978.792822</v>
      </c>
      <c r="E26" t="s">
        <v>223</v>
      </c>
    </row>
    <row r="27" spans="1:5" x14ac:dyDescent="0.25">
      <c r="A27" t="s">
        <v>213</v>
      </c>
      <c r="B27" s="174">
        <v>982.871126</v>
      </c>
    </row>
    <row r="28" spans="1:5" x14ac:dyDescent="0.25">
      <c r="A28" t="s">
        <v>214</v>
      </c>
      <c r="B28" s="174">
        <v>986.13376800000003</v>
      </c>
    </row>
    <row r="29" spans="1:5" x14ac:dyDescent="0.25">
      <c r="A29" t="s">
        <v>215</v>
      </c>
      <c r="B29" s="174">
        <v>990.21207200000003</v>
      </c>
    </row>
    <row r="30" spans="1:5" x14ac:dyDescent="0.25">
      <c r="A30" t="s">
        <v>216</v>
      </c>
      <c r="B30" s="174">
        <v>1000</v>
      </c>
    </row>
    <row r="31" spans="1:5" x14ac:dyDescent="0.25">
      <c r="A31" t="s">
        <v>217</v>
      </c>
      <c r="B31" s="174">
        <v>1000</v>
      </c>
    </row>
    <row r="32" spans="1:5" x14ac:dyDescent="0.25">
      <c r="A32" t="s">
        <v>218</v>
      </c>
      <c r="B32" s="174">
        <v>1004.893964</v>
      </c>
    </row>
    <row r="33" spans="1:5" x14ac:dyDescent="0.25">
      <c r="A33" t="s">
        <v>219</v>
      </c>
      <c r="B33" s="174">
        <v>1006</v>
      </c>
    </row>
    <row r="34" spans="1:5" x14ac:dyDescent="0.25">
      <c r="A34" t="s">
        <v>220</v>
      </c>
      <c r="B34" s="174">
        <v>1011</v>
      </c>
    </row>
    <row r="35" spans="1:5" x14ac:dyDescent="0.25">
      <c r="A35" t="s">
        <v>221</v>
      </c>
      <c r="B35" s="174">
        <v>1015</v>
      </c>
    </row>
    <row r="36" spans="1:5" x14ac:dyDescent="0.25">
      <c r="A36" t="s">
        <v>222</v>
      </c>
      <c r="B36" s="174">
        <v>1024</v>
      </c>
      <c r="D36" s="157">
        <f>+B36/B26</f>
        <v>1.046186666865442</v>
      </c>
      <c r="E36" t="s">
        <v>224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C175"/>
  <sheetViews>
    <sheetView zoomScale="85" zoomScaleNormal="85" workbookViewId="0">
      <selection activeCell="A22" sqref="A22"/>
    </sheetView>
  </sheetViews>
  <sheetFormatPr defaultColWidth="8.85546875" defaultRowHeight="15" x14ac:dyDescent="0.25"/>
  <cols>
    <col min="1" max="1" width="78.85546875" style="20" customWidth="1"/>
    <col min="2" max="2" width="9.140625" style="44" customWidth="1"/>
    <col min="3" max="3" width="17.42578125" style="20" customWidth="1"/>
    <col min="4" max="4" width="17.7109375" style="20" customWidth="1"/>
    <col min="5" max="5" width="10.7109375" style="20" customWidth="1"/>
    <col min="6" max="11" width="9.5703125" style="20" customWidth="1"/>
    <col min="12" max="12" width="10" style="20" customWidth="1"/>
    <col min="13" max="14" width="9.5703125" style="20" customWidth="1"/>
    <col min="15" max="15" width="7.7109375" style="20" customWidth="1"/>
    <col min="16" max="16" width="9.7109375" style="20" customWidth="1"/>
    <col min="17" max="26" width="7.7109375" style="20" customWidth="1"/>
    <col min="27" max="16384" width="8.85546875" style="20"/>
  </cols>
  <sheetData>
    <row r="1" spans="1:29" x14ac:dyDescent="0.2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9" x14ac:dyDescent="0.25">
      <c r="A2" s="44"/>
      <c r="B2" s="20" t="s">
        <v>104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9" x14ac:dyDescent="0.25">
      <c r="A3" s="128" t="s">
        <v>165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9" x14ac:dyDescent="0.25">
      <c r="A4" s="22" t="s">
        <v>8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9" x14ac:dyDescent="0.25"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9" x14ac:dyDescent="0.25">
      <c r="A6" s="44" t="s">
        <v>37</v>
      </c>
      <c r="C6" s="44" t="s">
        <v>110</v>
      </c>
      <c r="D6" s="44" t="s">
        <v>145</v>
      </c>
      <c r="E6" s="44"/>
      <c r="F6" s="46">
        <v>2015</v>
      </c>
      <c r="G6" s="46">
        <f>F6+1</f>
        <v>2016</v>
      </c>
      <c r="H6" s="46">
        <f>G6+1</f>
        <v>2017</v>
      </c>
      <c r="I6" s="46">
        <f t="shared" ref="I6:U7" si="0">H6+1</f>
        <v>2018</v>
      </c>
      <c r="J6" s="46">
        <f t="shared" si="0"/>
        <v>2019</v>
      </c>
      <c r="K6" s="46">
        <f t="shared" si="0"/>
        <v>2020</v>
      </c>
      <c r="L6" s="46">
        <f t="shared" si="0"/>
        <v>2021</v>
      </c>
      <c r="M6" s="46">
        <f t="shared" si="0"/>
        <v>2022</v>
      </c>
      <c r="N6" s="46">
        <f t="shared" si="0"/>
        <v>2023</v>
      </c>
      <c r="O6" s="46">
        <f t="shared" si="0"/>
        <v>2024</v>
      </c>
      <c r="P6" s="46">
        <f t="shared" si="0"/>
        <v>2025</v>
      </c>
      <c r="Q6" s="46">
        <f t="shared" si="0"/>
        <v>2026</v>
      </c>
      <c r="R6" s="46">
        <f t="shared" si="0"/>
        <v>2027</v>
      </c>
      <c r="S6" s="46">
        <f t="shared" si="0"/>
        <v>2028</v>
      </c>
      <c r="T6" s="46">
        <f t="shared" si="0"/>
        <v>2029</v>
      </c>
      <c r="U6" s="46">
        <f t="shared" si="0"/>
        <v>2030</v>
      </c>
      <c r="V6" s="46">
        <f t="shared" ref="V6:V7" si="1">U6+1</f>
        <v>2031</v>
      </c>
      <c r="W6" s="46">
        <f t="shared" ref="W6:W7" si="2">V6+1</f>
        <v>2032</v>
      </c>
      <c r="X6" s="46">
        <f t="shared" ref="X6:X7" si="3">W6+1</f>
        <v>2033</v>
      </c>
      <c r="Y6" s="46">
        <f t="shared" ref="Y6:Y7" si="4">X6+1</f>
        <v>2034</v>
      </c>
      <c r="Z6" s="46">
        <f t="shared" ref="Z6:Z7" si="5">Y6+1</f>
        <v>2035</v>
      </c>
      <c r="AA6" s="46">
        <f t="shared" ref="AA6:AA7" si="6">Z6+1</f>
        <v>2036</v>
      </c>
      <c r="AB6" s="46">
        <f t="shared" ref="AB6:AC7" si="7">AA6+1</f>
        <v>2037</v>
      </c>
      <c r="AC6" s="46">
        <f t="shared" si="7"/>
        <v>2038</v>
      </c>
    </row>
    <row r="7" spans="1:29" x14ac:dyDescent="0.25">
      <c r="A7" s="20" t="s">
        <v>131</v>
      </c>
      <c r="C7" s="44"/>
      <c r="D7" s="44" t="str">
        <f ca="1">OFFSET(Assumptions!$C$4,0,MATCH($A$4,scenarios,0)-1)</f>
        <v>End</v>
      </c>
      <c r="E7" s="44"/>
      <c r="F7" s="46"/>
      <c r="G7" s="46"/>
      <c r="H7" s="74"/>
      <c r="I7" s="46">
        <f ca="1">IF($D$7="End",1,IF($D$7="Mid",0.5,NA()))</f>
        <v>1</v>
      </c>
      <c r="J7" s="46">
        <f ca="1">I7+1</f>
        <v>2</v>
      </c>
      <c r="K7" s="46">
        <f t="shared" ca="1" si="0"/>
        <v>3</v>
      </c>
      <c r="L7" s="46">
        <f t="shared" ca="1" si="0"/>
        <v>4</v>
      </c>
      <c r="M7" s="46">
        <f t="shared" ca="1" si="0"/>
        <v>5</v>
      </c>
      <c r="N7" s="46">
        <f t="shared" ca="1" si="0"/>
        <v>6</v>
      </c>
      <c r="O7" s="46">
        <f t="shared" ca="1" si="0"/>
        <v>7</v>
      </c>
      <c r="P7" s="46">
        <f t="shared" ca="1" si="0"/>
        <v>8</v>
      </c>
      <c r="Q7" s="46">
        <f t="shared" ca="1" si="0"/>
        <v>9</v>
      </c>
      <c r="R7" s="46">
        <f t="shared" ca="1" si="0"/>
        <v>10</v>
      </c>
      <c r="S7" s="46">
        <f t="shared" ca="1" si="0"/>
        <v>11</v>
      </c>
      <c r="T7" s="46">
        <f t="shared" ca="1" si="0"/>
        <v>12</v>
      </c>
      <c r="U7" s="46">
        <f t="shared" ca="1" si="0"/>
        <v>13</v>
      </c>
      <c r="V7" s="46">
        <f t="shared" ca="1" si="1"/>
        <v>14</v>
      </c>
      <c r="W7" s="46">
        <f t="shared" ca="1" si="2"/>
        <v>15</v>
      </c>
      <c r="X7" s="46">
        <f t="shared" ca="1" si="3"/>
        <v>16</v>
      </c>
      <c r="Y7" s="46">
        <f t="shared" ca="1" si="4"/>
        <v>17</v>
      </c>
      <c r="Z7" s="46">
        <f t="shared" ca="1" si="5"/>
        <v>18</v>
      </c>
      <c r="AA7" s="46">
        <f t="shared" ca="1" si="6"/>
        <v>19</v>
      </c>
      <c r="AB7" s="46">
        <f t="shared" ca="1" si="7"/>
        <v>20</v>
      </c>
      <c r="AC7" s="46">
        <f t="shared" ca="1" si="7"/>
        <v>21</v>
      </c>
    </row>
    <row r="8" spans="1:29" x14ac:dyDescent="0.25">
      <c r="A8" s="20" t="s">
        <v>132</v>
      </c>
      <c r="C8" s="44"/>
      <c r="D8" s="44"/>
      <c r="E8" s="44"/>
      <c r="F8" s="46"/>
      <c r="G8" s="46"/>
      <c r="H8" s="153">
        <f ca="1">1/(1+OFFSET(Assumptions!$C$5,0,MATCH($A$4,scenarios,0)-1))^H7</f>
        <v>1</v>
      </c>
      <c r="I8" s="153">
        <f ca="1">1/(1+OFFSET(Assumptions!$C$5,0,MATCH($A$4,scenarios,0)-1))^I7</f>
        <v>0.94339622641509424</v>
      </c>
      <c r="J8" s="153">
        <f ca="1">1/(1+OFFSET(Assumptions!$C$5,0,MATCH($A$4,scenarios,0)-1))^J7</f>
        <v>0.88999644001423983</v>
      </c>
      <c r="K8" s="153">
        <f ca="1">1/(1+OFFSET(Assumptions!$C$5,0,MATCH($A$4,scenarios,0)-1))^K7</f>
        <v>0.8396192830323016</v>
      </c>
      <c r="L8" s="153">
        <f ca="1">1/(1+OFFSET(Assumptions!$C$5,0,MATCH($A$4,scenarios,0)-1))^L7</f>
        <v>0.79209366323802044</v>
      </c>
      <c r="M8" s="153">
        <f ca="1">1/(1+OFFSET(Assumptions!$C$5,0,MATCH($A$4,scenarios,0)-1))^M7</f>
        <v>0.74725817286605689</v>
      </c>
      <c r="N8" s="153">
        <f ca="1">1/(1+OFFSET(Assumptions!$C$5,0,MATCH($A$4,scenarios,0)-1))^N7</f>
        <v>0.70496054043967626</v>
      </c>
      <c r="O8" s="153">
        <f ca="1">1/(1+OFFSET(Assumptions!$C$5,0,MATCH($A$4,scenarios,0)-1))^O7</f>
        <v>0.66505711362233599</v>
      </c>
      <c r="P8" s="153">
        <f ca="1">1/(1+OFFSET(Assumptions!$C$5,0,MATCH($A$4,scenarios,0)-1))^P7</f>
        <v>0.62741237134182648</v>
      </c>
      <c r="Q8" s="153">
        <f ca="1">1/(1+OFFSET(Assumptions!$C$5,0,MATCH($A$4,scenarios,0)-1))^Q7</f>
        <v>0.59189846353002495</v>
      </c>
      <c r="R8" s="153">
        <f ca="1">1/(1+OFFSET(Assumptions!$C$5,0,MATCH($A$4,scenarios,0)-1))^R7</f>
        <v>0.55839477691511785</v>
      </c>
      <c r="S8" s="153">
        <f ca="1">1/(1+OFFSET(Assumptions!$C$5,0,MATCH($A$4,scenarios,0)-1))^S7</f>
        <v>0.52678752539162055</v>
      </c>
      <c r="T8" s="153">
        <f ca="1">1/(1+OFFSET(Assumptions!$C$5,0,MATCH($A$4,scenarios,0)-1))^T7</f>
        <v>0.4969693635770005</v>
      </c>
      <c r="U8" s="153">
        <f ca="1">1/(1+OFFSET(Assumptions!$C$5,0,MATCH($A$4,scenarios,0)-1))^U7</f>
        <v>0.46883902224245327</v>
      </c>
      <c r="V8" s="153">
        <f ca="1">1/(1+OFFSET(Assumptions!$C$5,0,MATCH($A$4,scenarios,0)-1))^V7</f>
        <v>0.44230096437967292</v>
      </c>
      <c r="W8" s="153">
        <f ca="1">1/(1+OFFSET(Assumptions!$C$5,0,MATCH($A$4,scenarios,0)-1))^W7</f>
        <v>0.41726506073554037</v>
      </c>
      <c r="X8" s="153">
        <f ca="1">1/(1+OFFSET(Assumptions!$C$5,0,MATCH($A$4,scenarios,0)-1))^X7</f>
        <v>0.39364628371277405</v>
      </c>
      <c r="Y8" s="153">
        <f ca="1">1/(1+OFFSET(Assumptions!$C$5,0,MATCH($A$4,scenarios,0)-1))^Y7</f>
        <v>0.37136441859695657</v>
      </c>
      <c r="Z8" s="153">
        <f ca="1">1/(1+OFFSET(Assumptions!$C$5,0,MATCH($A$4,scenarios,0)-1))^Z7</f>
        <v>0.35034379112920433</v>
      </c>
      <c r="AA8" s="153">
        <f ca="1">1/(1+OFFSET(Assumptions!$C$5,0,MATCH($A$4,scenarios,0)-1))^AA7</f>
        <v>0.3305130104992493</v>
      </c>
      <c r="AB8" s="153">
        <f ca="1">1/(1+OFFSET(Assumptions!$C$5,0,MATCH($A$4,scenarios,0)-1))^AB7</f>
        <v>0.31180472688608429</v>
      </c>
      <c r="AC8" s="153">
        <f ca="1">1/(1+OFFSET(Assumptions!$C$5,0,MATCH($A$4,scenarios,0)-1))^AC7</f>
        <v>0.29415540272272095</v>
      </c>
    </row>
    <row r="9" spans="1:29" x14ac:dyDescent="0.25">
      <c r="A9" s="44"/>
    </row>
    <row r="10" spans="1:29" x14ac:dyDescent="0.25">
      <c r="A10" s="72" t="s">
        <v>119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</row>
    <row r="11" spans="1:29" x14ac:dyDescent="0.25">
      <c r="A11" s="73" t="s">
        <v>230</v>
      </c>
      <c r="F11" s="45">
        <f ca="1">IF(AND(F$6&gt;=OFFSET(Assumptions!$C$9,0,MATCH($A$4,scenarios,0)-1),F6&lt;OFFSET(Assumptions!$C$6,0,MATCH($A$4,scenarios,0)-1)+OFFSET(Assumptions!$C$9,0,MATCH($A$4,scenarios,0)-1)),1,0)</f>
        <v>0</v>
      </c>
      <c r="G11" s="45">
        <f ca="1">IF(AND(G$6&gt;=OFFSET(Assumptions!$C$9,0,MATCH($A$4,scenarios,0)-1),G6&lt;OFFSET(Assumptions!$C$6,0,MATCH($A$4,scenarios,0)-1)+OFFSET(Assumptions!$C$9,0,MATCH($A$4,scenarios,0)-1)),1,0)</f>
        <v>0</v>
      </c>
      <c r="H11" s="45">
        <f ca="1">IF(AND(H$6&gt;=OFFSET(Assumptions!$C$9,0,MATCH($A$4,scenarios,0)-1),H6&lt;OFFSET(Assumptions!$C$6,0,MATCH($A$4,scenarios,0)-1)+OFFSET(Assumptions!$C$9,0,MATCH($A$4,scenarios,0)-1)),1,0)</f>
        <v>0</v>
      </c>
      <c r="I11" s="45">
        <f ca="1">IF(AND(I$6&gt;=OFFSET(Assumptions!$C$9,0,MATCH($A$4,scenarios,0)-1),I6&lt;OFFSET(Assumptions!$C$6,0,MATCH($A$4,scenarios,0)-1)+OFFSET(Assumptions!$C$9,0,MATCH($A$4,scenarios,0)-1)),1,0)</f>
        <v>0</v>
      </c>
      <c r="J11" s="45">
        <f ca="1">IF(AND(J$6&gt;=OFFSET(Assumptions!$C$9,0,MATCH($A$4,scenarios,0)-1),J6&lt;OFFSET(Assumptions!$C$6,0,MATCH($A$4,scenarios,0)-1)+OFFSET(Assumptions!$C$9,0,MATCH($A$4,scenarios,0)-1)),1,0)</f>
        <v>0</v>
      </c>
      <c r="K11" s="45">
        <f ca="1">IF(AND(K$6&gt;=OFFSET(Assumptions!$C$9,0,MATCH($A$4,scenarios,0)-1),K6&lt;OFFSET(Assumptions!$C$6,0,MATCH($A$4,scenarios,0)-1)+OFFSET(Assumptions!$C$9,0,MATCH($A$4,scenarios,0)-1)),1,0)</f>
        <v>0</v>
      </c>
      <c r="L11" s="45">
        <f ca="1">IF(AND(L$6&gt;=OFFSET(Assumptions!$C$9,0,MATCH($A$4,scenarios,0)-1),L6&lt;OFFSET(Assumptions!$C$6,0,MATCH($A$4,scenarios,0)-1)+OFFSET(Assumptions!$C$9,0,MATCH($A$4,scenarios,0)-1)),1,0)</f>
        <v>0</v>
      </c>
      <c r="M11" s="45">
        <f ca="1">IF(AND(M$6&gt;=OFFSET(Assumptions!$C$9,0,MATCH($A$4,scenarios,0)-1),M6&lt;OFFSET(Assumptions!$C$6,0,MATCH($A$4,scenarios,0)-1)+OFFSET(Assumptions!$C$9,0,MATCH($A$4,scenarios,0)-1)),1,0)</f>
        <v>1</v>
      </c>
      <c r="N11" s="45">
        <f ca="1">IF(AND(N$6&gt;=OFFSET(Assumptions!$C$9,0,MATCH($A$4,scenarios,0)-1),N6&lt;OFFSET(Assumptions!$C$6,0,MATCH($A$4,scenarios,0)-1)+OFFSET(Assumptions!$C$9,0,MATCH($A$4,scenarios,0)-1)),1,0)</f>
        <v>1</v>
      </c>
      <c r="O11" s="45">
        <f ca="1">IF(AND(O$6&gt;=OFFSET(Assumptions!$C$9,0,MATCH($A$4,scenarios,0)-1),O6&lt;OFFSET(Assumptions!$C$6,0,MATCH($A$4,scenarios,0)-1)+OFFSET(Assumptions!$C$9,0,MATCH($A$4,scenarios,0)-1)),1,0)</f>
        <v>1</v>
      </c>
      <c r="P11" s="45">
        <f ca="1">IF(AND(P$6&gt;=OFFSET(Assumptions!$C$9,0,MATCH($A$4,scenarios,0)-1),P6&lt;OFFSET(Assumptions!$C$6,0,MATCH($A$4,scenarios,0)-1)+OFFSET(Assumptions!$C$9,0,MATCH($A$4,scenarios,0)-1)),1,0)</f>
        <v>1</v>
      </c>
      <c r="Q11" s="45">
        <f ca="1">IF(AND(Q$6&gt;=OFFSET(Assumptions!$C$9,0,MATCH($A$4,scenarios,0)-1),Q6&lt;OFFSET(Assumptions!$C$6,0,MATCH($A$4,scenarios,0)-1)+OFFSET(Assumptions!$C$9,0,MATCH($A$4,scenarios,0)-1)),1,0)</f>
        <v>1</v>
      </c>
      <c r="R11" s="45">
        <f ca="1">IF(AND(R$6&gt;=OFFSET(Assumptions!$C$9,0,MATCH($A$4,scenarios,0)-1),R6&lt;OFFSET(Assumptions!$C$6,0,MATCH($A$4,scenarios,0)-1)+OFFSET(Assumptions!$C$9,0,MATCH($A$4,scenarios,0)-1)),1,0)</f>
        <v>1</v>
      </c>
      <c r="S11" s="45">
        <f ca="1">IF(AND(S$6&gt;=OFFSET(Assumptions!$C$9,0,MATCH($A$4,scenarios,0)-1),S6&lt;OFFSET(Assumptions!$C$6,0,MATCH($A$4,scenarios,0)-1)+OFFSET(Assumptions!$C$9,0,MATCH($A$4,scenarios,0)-1)),1,0)</f>
        <v>1</v>
      </c>
      <c r="T11" s="45">
        <f ca="1">IF(AND(T$6&gt;=OFFSET(Assumptions!$C$9,0,MATCH($A$4,scenarios,0)-1),T6&lt;OFFSET(Assumptions!$C$6,0,MATCH($A$4,scenarios,0)-1)+OFFSET(Assumptions!$C$9,0,MATCH($A$4,scenarios,0)-1)),1,0)</f>
        <v>1</v>
      </c>
      <c r="U11" s="45">
        <f ca="1">IF(AND(U$6&gt;=OFFSET(Assumptions!$C$9,0,MATCH($A$4,scenarios,0)-1),U6&lt;OFFSET(Assumptions!$C$6,0,MATCH($A$4,scenarios,0)-1)+OFFSET(Assumptions!$C$9,0,MATCH($A$4,scenarios,0)-1)),1,0)</f>
        <v>1</v>
      </c>
      <c r="V11" s="45">
        <f ca="1">IF(AND(V$6&gt;=OFFSET(Assumptions!$C$9,0,MATCH($A$4,scenarios,0)-1),V6&lt;OFFSET(Assumptions!$C$6,0,MATCH($A$4,scenarios,0)-1)+OFFSET(Assumptions!$C$9,0,MATCH($A$4,scenarios,0)-1)),1,0)</f>
        <v>1</v>
      </c>
      <c r="W11" s="45">
        <f ca="1">IF(AND(W$6&gt;=OFFSET(Assumptions!$C$9,0,MATCH($A$4,scenarios,0)-1),W6&lt;OFFSET(Assumptions!$C$6,0,MATCH($A$4,scenarios,0)-1)+OFFSET(Assumptions!$C$9,0,MATCH($A$4,scenarios,0)-1)),1,0)</f>
        <v>1</v>
      </c>
      <c r="X11" s="45">
        <f ca="1">IF(AND(X$6&gt;=OFFSET(Assumptions!$C$9,0,MATCH($A$4,scenarios,0)-1),X6&lt;OFFSET(Assumptions!$C$6,0,MATCH($A$4,scenarios,0)-1)+OFFSET(Assumptions!$C$9,0,MATCH($A$4,scenarios,0)-1)),1,0)</f>
        <v>1</v>
      </c>
      <c r="Y11" s="45">
        <f ca="1">IF(AND(Y$6&gt;=OFFSET(Assumptions!$C$9,0,MATCH($A$4,scenarios,0)-1),Y6&lt;OFFSET(Assumptions!$C$6,0,MATCH($A$4,scenarios,0)-1)+OFFSET(Assumptions!$C$9,0,MATCH($A$4,scenarios,0)-1)),1,0)</f>
        <v>1</v>
      </c>
      <c r="Z11" s="45">
        <f ca="1">IF(AND(Z$6&gt;=OFFSET(Assumptions!$C$9,0,MATCH($A$4,scenarios,0)-1),Z6&lt;OFFSET(Assumptions!$C$6,0,MATCH($A$4,scenarios,0)-1)+OFFSET(Assumptions!$C$9,0,MATCH($A$4,scenarios,0)-1)),1,0)</f>
        <v>1</v>
      </c>
      <c r="AA11" s="45">
        <f ca="1">IF(AND(AA$6&gt;=OFFSET(Assumptions!$C$9,0,MATCH($A$4,scenarios,0)-1),AA6&lt;OFFSET(Assumptions!$C$6,0,MATCH($A$4,scenarios,0)-1)+OFFSET(Assumptions!$C$9,0,MATCH($A$4,scenarios,0)-1)),1,0)</f>
        <v>1</v>
      </c>
      <c r="AB11" s="45">
        <f ca="1">IF(AND(AB$6&gt;=OFFSET(Assumptions!$C$9,0,MATCH($A$4,scenarios,0)-1),AB6&lt;OFFSET(Assumptions!$C$6,0,MATCH($A$4,scenarios,0)-1)+OFFSET(Assumptions!$C$9,0,MATCH($A$4,scenarios,0)-1)),1,0)</f>
        <v>0</v>
      </c>
      <c r="AC11" s="45">
        <f ca="1">IF(AND(AC$6&gt;=OFFSET(Assumptions!$C$9,0,MATCH($A$4,scenarios,0)-1),AC6&lt;OFFSET(Assumptions!$C$6,0,MATCH($A$4,scenarios,0)-1)+OFFSET(Assumptions!$C$9,0,MATCH($A$4,scenarios,0)-1)),1,0)</f>
        <v>0</v>
      </c>
    </row>
    <row r="12" spans="1:29" x14ac:dyDescent="0.25">
      <c r="A12" s="73" t="s">
        <v>124</v>
      </c>
      <c r="F12" s="45">
        <f ca="1">IF(F$6&gt;=OFFSET(Assumptions!$C$9,0,MATCH($A4,scenarios,0)-1)+OFFSET(Assumptions!$C$31,0,MATCH($A4,scenarios,0)-1),1,0)</f>
        <v>0</v>
      </c>
      <c r="G12" s="45">
        <f ca="1">IF(G$6&gt;=OFFSET(Assumptions!$C$9,0,MATCH($A4,scenarios,0)-1)+OFFSET(Assumptions!$C$31,0,MATCH($A4,scenarios,0)-1),1,0)</f>
        <v>0</v>
      </c>
      <c r="H12" s="45">
        <f ca="1">IF(H$6&gt;=OFFSET(Assumptions!$C$9,0,MATCH($A4,scenarios,0)-1)+OFFSET(Assumptions!$C$31,0,MATCH($A4,scenarios,0)-1),1,0)</f>
        <v>0</v>
      </c>
      <c r="I12" s="45">
        <f ca="1">IF(I$6&gt;=OFFSET(Assumptions!$C$9,0,MATCH($A4,scenarios,0)-1)+OFFSET(Assumptions!$C$31,0,MATCH($A4,scenarios,0)-1),1,0)</f>
        <v>0</v>
      </c>
      <c r="J12" s="45">
        <f ca="1">IF(J$6&gt;=OFFSET(Assumptions!$C$9,0,MATCH($A4,scenarios,0)-1)+OFFSET(Assumptions!$C$31,0,MATCH($A4,scenarios,0)-1),1,0)</f>
        <v>0</v>
      </c>
      <c r="K12" s="45">
        <f ca="1">IF(K$6&gt;=OFFSET(Assumptions!$C$9,0,MATCH($A4,scenarios,0)-1)+OFFSET(Assumptions!$C$31,0,MATCH($A4,scenarios,0)-1),1,0)</f>
        <v>0</v>
      </c>
      <c r="L12" s="45">
        <f ca="1">IF(L$6&gt;=OFFSET(Assumptions!$C$9,0,MATCH($A4,scenarios,0)-1)+OFFSET(Assumptions!$C$31,0,MATCH($A4,scenarios,0)-1),1,0)</f>
        <v>0</v>
      </c>
      <c r="M12" s="45">
        <f ca="1">IF(M$6&gt;=OFFSET(Assumptions!$C$9,0,MATCH($A4,scenarios,0)-1)+OFFSET(Assumptions!$C$31,0,MATCH($A4,scenarios,0)-1),1,0)</f>
        <v>0</v>
      </c>
      <c r="N12" s="45">
        <f ca="1">IF(N$6&gt;=OFFSET(Assumptions!$C$9,0,MATCH($A4,scenarios,0)-1)+OFFSET(Assumptions!$C$31,0,MATCH($A4,scenarios,0)-1),1,0)</f>
        <v>0</v>
      </c>
      <c r="O12" s="45">
        <f ca="1">IF(O$6&gt;=OFFSET(Assumptions!$C$9,0,MATCH($A4,scenarios,0)-1)+OFFSET(Assumptions!$C$31,0,MATCH($A4,scenarios,0)-1),1,0)</f>
        <v>1</v>
      </c>
      <c r="P12" s="45">
        <f ca="1">IF(P$6&gt;=OFFSET(Assumptions!$C$9,0,MATCH($A4,scenarios,0)-1)+OFFSET(Assumptions!$C$31,0,MATCH($A4,scenarios,0)-1),1,0)</f>
        <v>1</v>
      </c>
      <c r="Q12" s="45">
        <f ca="1">IF(Q$6&gt;=OFFSET(Assumptions!$C$9,0,MATCH($A4,scenarios,0)-1)+OFFSET(Assumptions!$C$31,0,MATCH($A4,scenarios,0)-1),1,0)</f>
        <v>1</v>
      </c>
      <c r="R12" s="45">
        <f ca="1">IF(R$6&gt;=OFFSET(Assumptions!$C$9,0,MATCH($A4,scenarios,0)-1)+OFFSET(Assumptions!$C$31,0,MATCH($A4,scenarios,0)-1),1,0)</f>
        <v>1</v>
      </c>
      <c r="S12" s="45">
        <f ca="1">IF(S$6&gt;=OFFSET(Assumptions!$C$9,0,MATCH($A4,scenarios,0)-1)+OFFSET(Assumptions!$C$31,0,MATCH($A4,scenarios,0)-1),1,0)</f>
        <v>1</v>
      </c>
      <c r="T12" s="45">
        <f ca="1">IF(T$6&gt;=OFFSET(Assumptions!$C$9,0,MATCH($A4,scenarios,0)-1)+OFFSET(Assumptions!$C$31,0,MATCH($A4,scenarios,0)-1),1,0)</f>
        <v>1</v>
      </c>
      <c r="U12" s="45">
        <f ca="1">IF(U$6&gt;=OFFSET(Assumptions!$C$9,0,MATCH($A4,scenarios,0)-1)+OFFSET(Assumptions!$C$31,0,MATCH($A4,scenarios,0)-1),1,0)</f>
        <v>1</v>
      </c>
      <c r="V12" s="45">
        <f ca="1">IF(V$6&gt;=OFFSET(Assumptions!$C$9,0,MATCH($A4,scenarios,0)-1)+OFFSET(Assumptions!$C$31,0,MATCH($A4,scenarios,0)-1),1,0)</f>
        <v>1</v>
      </c>
      <c r="W12" s="45">
        <f ca="1">IF(W$6&gt;=OFFSET(Assumptions!$C$9,0,MATCH($A4,scenarios,0)-1)+OFFSET(Assumptions!$C$31,0,MATCH($A4,scenarios,0)-1),1,0)</f>
        <v>1</v>
      </c>
      <c r="X12" s="45">
        <f ca="1">IF(X$6&gt;=OFFSET(Assumptions!$C$9,0,MATCH($A4,scenarios,0)-1)+OFFSET(Assumptions!$C$31,0,MATCH($A4,scenarios,0)-1),1,0)</f>
        <v>1</v>
      </c>
      <c r="Y12" s="45">
        <f ca="1">IF(Y$6&gt;=OFFSET(Assumptions!$C$9,0,MATCH($A4,scenarios,0)-1)+OFFSET(Assumptions!$C$31,0,MATCH($A4,scenarios,0)-1),1,0)</f>
        <v>1</v>
      </c>
      <c r="Z12" s="45">
        <f ca="1">IF(Z$6&gt;=OFFSET(Assumptions!$C$9,0,MATCH($A4,scenarios,0)-1)+OFFSET(Assumptions!$C$31,0,MATCH($A4,scenarios,0)-1),1,0)</f>
        <v>1</v>
      </c>
      <c r="AA12" s="45">
        <f ca="1">IF(AA$6&gt;=OFFSET(Assumptions!$C$9,0,MATCH($A4,scenarios,0)-1)+OFFSET(Assumptions!$C$31,0,MATCH($A4,scenarios,0)-1),1,0)</f>
        <v>1</v>
      </c>
      <c r="AB12" s="45">
        <f ca="1">IF(AB$6&gt;=OFFSET(Assumptions!$C$9,0,MATCH($A4,scenarios,0)-1)+OFFSET(Assumptions!$C$31,0,MATCH($A4,scenarios,0)-1),1,0)</f>
        <v>1</v>
      </c>
      <c r="AC12" s="45">
        <f ca="1">IF(AC$6&gt;=OFFSET(Assumptions!$C$9,0,MATCH($A4,scenarios,0)-1)+OFFSET(Assumptions!$C$31,0,MATCH($A4,scenarios,0)-1),1,0)</f>
        <v>1</v>
      </c>
    </row>
    <row r="13" spans="1:29" x14ac:dyDescent="0.25">
      <c r="A13" s="73" t="s">
        <v>120</v>
      </c>
      <c r="F13" s="45">
        <f ca="1">IF(F$6=OFFSET(Assumptions!$C$7,0,MATCH($A4,scenarios,0)-1)+OFFSET(Assumptions!$C$48,0,MATCH($A4,scenarios,0)-1),1,0)</f>
        <v>0</v>
      </c>
      <c r="G13" s="45">
        <f ca="1">IF(G$6=OFFSET(Assumptions!$C$7,0,MATCH($A4,scenarios,0)-1)+OFFSET(Assumptions!$C$48,0,MATCH($A4,scenarios,0)-1),1,0)</f>
        <v>0</v>
      </c>
      <c r="H13" s="45">
        <f ca="1">IF(H$6=OFFSET(Assumptions!$C$7,0,MATCH($A4,scenarios,0)-1)+OFFSET(Assumptions!$C$48,0,MATCH($A4,scenarios,0)-1),1,0)</f>
        <v>0</v>
      </c>
      <c r="I13" s="45">
        <f ca="1">IF(I$6=OFFSET(Assumptions!$C$7,0,MATCH($A4,scenarios,0)-1)+OFFSET(Assumptions!$C$48,0,MATCH($A4,scenarios,0)-1),1,0)</f>
        <v>0</v>
      </c>
      <c r="J13" s="45">
        <f ca="1">IF(J$6=OFFSET(Assumptions!$C$7,0,MATCH($A4,scenarios,0)-1)+OFFSET(Assumptions!$C$48,0,MATCH($A4,scenarios,0)-1),1,0)</f>
        <v>1</v>
      </c>
      <c r="K13" s="45">
        <f ca="1">IF(K$6=OFFSET(Assumptions!$C$7,0,MATCH($A4,scenarios,0)-1)+OFFSET(Assumptions!$C$48,0,MATCH($A4,scenarios,0)-1),1,0)</f>
        <v>0</v>
      </c>
      <c r="L13" s="45">
        <f ca="1">IF(L$6=OFFSET(Assumptions!$C$7,0,MATCH($A4,scenarios,0)-1)+OFFSET(Assumptions!$C$48,0,MATCH($A4,scenarios,0)-1),1,0)</f>
        <v>0</v>
      </c>
      <c r="M13" s="45">
        <f ca="1">IF(M$6=OFFSET(Assumptions!$C$7,0,MATCH($A4,scenarios,0)-1)+OFFSET(Assumptions!$C$48,0,MATCH($A4,scenarios,0)-1),1,0)</f>
        <v>0</v>
      </c>
      <c r="N13" s="45">
        <f ca="1">IF(N$6=OFFSET(Assumptions!$C$7,0,MATCH($A4,scenarios,0)-1)+OFFSET(Assumptions!$C$48,0,MATCH($A4,scenarios,0)-1),1,0)</f>
        <v>0</v>
      </c>
      <c r="O13" s="45">
        <f ca="1">IF(O$6=OFFSET(Assumptions!$C$7,0,MATCH($A4,scenarios,0)-1)+OFFSET(Assumptions!$C$48,0,MATCH($A4,scenarios,0)-1),1,0)</f>
        <v>0</v>
      </c>
      <c r="P13" s="45">
        <f ca="1">IF(P$6=OFFSET(Assumptions!$C$7,0,MATCH($A4,scenarios,0)-1)+OFFSET(Assumptions!$C$48,0,MATCH($A4,scenarios,0)-1),1,0)</f>
        <v>0</v>
      </c>
      <c r="Q13" s="45">
        <f ca="1">IF(Q$6=OFFSET(Assumptions!$C$7,0,MATCH($A4,scenarios,0)-1)+OFFSET(Assumptions!$C$48,0,MATCH($A4,scenarios,0)-1),1,0)</f>
        <v>0</v>
      </c>
      <c r="R13" s="45">
        <f ca="1">IF(R$6=OFFSET(Assumptions!$C$7,0,MATCH($A4,scenarios,0)-1)+OFFSET(Assumptions!$C$48,0,MATCH($A4,scenarios,0)-1),1,0)</f>
        <v>0</v>
      </c>
      <c r="S13" s="45">
        <f ca="1">IF(S$6=OFFSET(Assumptions!$C$7,0,MATCH($A4,scenarios,0)-1)+OFFSET(Assumptions!$C$48,0,MATCH($A4,scenarios,0)-1),1,0)</f>
        <v>0</v>
      </c>
      <c r="T13" s="45">
        <f ca="1">IF(T$6=OFFSET(Assumptions!$C$7,0,MATCH($A4,scenarios,0)-1)+OFFSET(Assumptions!$C$48,0,MATCH($A4,scenarios,0)-1),1,0)</f>
        <v>0</v>
      </c>
      <c r="U13" s="45">
        <f ca="1">IF(U$6=OFFSET(Assumptions!$C$7,0,MATCH($A4,scenarios,0)-1)+OFFSET(Assumptions!$C$48,0,MATCH($A4,scenarios,0)-1),1,0)</f>
        <v>0</v>
      </c>
      <c r="V13" s="45">
        <f ca="1">IF(V$6=OFFSET(Assumptions!$C$7,0,MATCH($A4,scenarios,0)-1)+OFFSET(Assumptions!$C$48,0,MATCH($A4,scenarios,0)-1),1,0)</f>
        <v>0</v>
      </c>
      <c r="W13" s="45">
        <f ca="1">IF(W$6=OFFSET(Assumptions!$C$7,0,MATCH($A4,scenarios,0)-1)+OFFSET(Assumptions!$C$48,0,MATCH($A4,scenarios,0)-1),1,0)</f>
        <v>0</v>
      </c>
      <c r="X13" s="45">
        <f ca="1">IF(X$6=OFFSET(Assumptions!$C$7,0,MATCH($A4,scenarios,0)-1)+OFFSET(Assumptions!$C$48,0,MATCH($A4,scenarios,0)-1),1,0)</f>
        <v>0</v>
      </c>
      <c r="Y13" s="45">
        <f ca="1">IF(Y$6=OFFSET(Assumptions!$C$7,0,MATCH($A4,scenarios,0)-1)+OFFSET(Assumptions!$C$48,0,MATCH($A4,scenarios,0)-1),1,0)</f>
        <v>0</v>
      </c>
      <c r="Z13" s="45">
        <f ca="1">IF(Z$6=OFFSET(Assumptions!$C$7,0,MATCH($A4,scenarios,0)-1)+OFFSET(Assumptions!$C$48,0,MATCH($A4,scenarios,0)-1),1,0)</f>
        <v>0</v>
      </c>
      <c r="AA13" s="45">
        <f ca="1">IF(AA$6=OFFSET(Assumptions!$C$7,0,MATCH($A4,scenarios,0)-1)+OFFSET(Assumptions!$C$48,0,MATCH($A4,scenarios,0)-1),1,0)</f>
        <v>0</v>
      </c>
      <c r="AB13" s="45">
        <f ca="1">IF(AB$6=OFFSET(Assumptions!$C$7,0,MATCH($A4,scenarios,0)-1)+OFFSET(Assumptions!$C$48,0,MATCH($A4,scenarios,0)-1),1,0)</f>
        <v>0</v>
      </c>
      <c r="AC13" s="45">
        <f ca="1">IF(AC$6=OFFSET(Assumptions!$C$7,0,MATCH($A4,scenarios,0)-1)+OFFSET(Assumptions!$C$48,0,MATCH($A4,scenarios,0)-1),1,0)</f>
        <v>0</v>
      </c>
    </row>
    <row r="14" spans="1:29" x14ac:dyDescent="0.25">
      <c r="A14" s="73" t="s">
        <v>121</v>
      </c>
      <c r="F14" s="45">
        <f ca="1">IF(F$6=OFFSET(Assumptions!$C$7,0,MATCH($A4,scenarios,0)-1)+OFFSET(Assumptions!$C$58,0,MATCH($A4,scenarios,0)-1),1,0)</f>
        <v>0</v>
      </c>
      <c r="G14" s="45">
        <f ca="1">IF(G$6=OFFSET(Assumptions!$C$7,0,MATCH($A4,scenarios,0)-1)+OFFSET(Assumptions!$C$58,0,MATCH($A4,scenarios,0)-1),1,0)</f>
        <v>0</v>
      </c>
      <c r="H14" s="45">
        <f ca="1">IF(H$6=OFFSET(Assumptions!$C$7,0,MATCH($A4,scenarios,0)-1)+OFFSET(Assumptions!$C$58,0,MATCH($A4,scenarios,0)-1),1,0)</f>
        <v>0</v>
      </c>
      <c r="I14" s="45">
        <f ca="1">IF(I$6=OFFSET(Assumptions!$C$7,0,MATCH($A4,scenarios,0)-1)+OFFSET(Assumptions!$C$58,0,MATCH($A4,scenarios,0)-1),1,0)</f>
        <v>0</v>
      </c>
      <c r="J14" s="45">
        <f ca="1">IF(J$6=OFFSET(Assumptions!$C$7,0,MATCH($A4,scenarios,0)-1)+OFFSET(Assumptions!$C$58,0,MATCH($A4,scenarios,0)-1),1,0)</f>
        <v>0</v>
      </c>
      <c r="K14" s="45">
        <f ca="1">IF(K$6=OFFSET(Assumptions!$C$7,0,MATCH($A4,scenarios,0)-1)+OFFSET(Assumptions!$C$58,0,MATCH($A4,scenarios,0)-1),1,0)</f>
        <v>0</v>
      </c>
      <c r="L14" s="45">
        <f ca="1">IF(L$6=OFFSET(Assumptions!$C$7,0,MATCH($A4,scenarios,0)-1)+OFFSET(Assumptions!$C$58,0,MATCH($A4,scenarios,0)-1),1,0)</f>
        <v>1</v>
      </c>
      <c r="M14" s="45">
        <f ca="1">IF(M$6=OFFSET(Assumptions!$C$7,0,MATCH($A4,scenarios,0)-1)+OFFSET(Assumptions!$C$58,0,MATCH($A4,scenarios,0)-1),1,0)</f>
        <v>0</v>
      </c>
      <c r="N14" s="45">
        <f ca="1">IF(N$6=OFFSET(Assumptions!$C$7,0,MATCH($A4,scenarios,0)-1)+OFFSET(Assumptions!$C$58,0,MATCH($A4,scenarios,0)-1),1,0)</f>
        <v>0</v>
      </c>
      <c r="O14" s="45">
        <f ca="1">IF(O$6=OFFSET(Assumptions!$C$7,0,MATCH($A4,scenarios,0)-1)+OFFSET(Assumptions!$C$58,0,MATCH($A4,scenarios,0)-1),1,0)</f>
        <v>0</v>
      </c>
      <c r="P14" s="45">
        <f ca="1">IF(P$6=OFFSET(Assumptions!$C$7,0,MATCH($A4,scenarios,0)-1)+OFFSET(Assumptions!$C$58,0,MATCH($A4,scenarios,0)-1),1,0)</f>
        <v>0</v>
      </c>
      <c r="Q14" s="45">
        <f ca="1">IF(Q$6=OFFSET(Assumptions!$C$7,0,MATCH($A4,scenarios,0)-1)+OFFSET(Assumptions!$C$58,0,MATCH($A4,scenarios,0)-1),1,0)</f>
        <v>0</v>
      </c>
      <c r="R14" s="45">
        <f ca="1">IF(R$6=OFFSET(Assumptions!$C$7,0,MATCH($A4,scenarios,0)-1)+OFFSET(Assumptions!$C$58,0,MATCH($A4,scenarios,0)-1),1,0)</f>
        <v>0</v>
      </c>
      <c r="S14" s="45">
        <f ca="1">IF(S$6=OFFSET(Assumptions!$C$7,0,MATCH($A4,scenarios,0)-1)+OFFSET(Assumptions!$C$58,0,MATCH($A4,scenarios,0)-1),1,0)</f>
        <v>0</v>
      </c>
      <c r="T14" s="45">
        <f ca="1">IF(T$6=OFFSET(Assumptions!$C$7,0,MATCH($A4,scenarios,0)-1)+OFFSET(Assumptions!$C$58,0,MATCH($A4,scenarios,0)-1),1,0)</f>
        <v>0</v>
      </c>
      <c r="U14" s="45">
        <f ca="1">IF(U$6=OFFSET(Assumptions!$C$7,0,MATCH($A4,scenarios,0)-1)+OFFSET(Assumptions!$C$58,0,MATCH($A4,scenarios,0)-1),1,0)</f>
        <v>0</v>
      </c>
      <c r="V14" s="45">
        <f ca="1">IF(V$6=OFFSET(Assumptions!$C$7,0,MATCH($A4,scenarios,0)-1)+OFFSET(Assumptions!$C$58,0,MATCH($A4,scenarios,0)-1),1,0)</f>
        <v>0</v>
      </c>
      <c r="W14" s="45">
        <f ca="1">IF(W$6=OFFSET(Assumptions!$C$7,0,MATCH($A4,scenarios,0)-1)+OFFSET(Assumptions!$C$58,0,MATCH($A4,scenarios,0)-1),1,0)</f>
        <v>0</v>
      </c>
      <c r="X14" s="45">
        <f ca="1">IF(X$6=OFFSET(Assumptions!$C$7,0,MATCH($A4,scenarios,0)-1)+OFFSET(Assumptions!$C$58,0,MATCH($A4,scenarios,0)-1),1,0)</f>
        <v>0</v>
      </c>
      <c r="Y14" s="45">
        <f ca="1">IF(Y$6=OFFSET(Assumptions!$C$7,0,MATCH($A4,scenarios,0)-1)+OFFSET(Assumptions!$C$58,0,MATCH($A4,scenarios,0)-1),1,0)</f>
        <v>0</v>
      </c>
      <c r="Z14" s="45">
        <f ca="1">IF(Z$6=OFFSET(Assumptions!$C$7,0,MATCH($A4,scenarios,0)-1)+OFFSET(Assumptions!$C$58,0,MATCH($A4,scenarios,0)-1),1,0)</f>
        <v>0</v>
      </c>
      <c r="AA14" s="45">
        <f ca="1">IF(AA$6=OFFSET(Assumptions!$C$7,0,MATCH($A4,scenarios,0)-1)+OFFSET(Assumptions!$C$58,0,MATCH($A4,scenarios,0)-1),1,0)</f>
        <v>0</v>
      </c>
      <c r="AB14" s="45">
        <f ca="1">IF(AB$6=OFFSET(Assumptions!$C$7,0,MATCH($A4,scenarios,0)-1)+OFFSET(Assumptions!$C$58,0,MATCH($A4,scenarios,0)-1),1,0)</f>
        <v>0</v>
      </c>
      <c r="AC14" s="45">
        <f ca="1">IF(AC$6=OFFSET(Assumptions!$C$7,0,MATCH($A4,scenarios,0)-1)+OFFSET(Assumptions!$C$58,0,MATCH($A4,scenarios,0)-1),1,0)</f>
        <v>0</v>
      </c>
    </row>
    <row r="15" spans="1:29" x14ac:dyDescent="0.25">
      <c r="A15" s="73" t="s">
        <v>122</v>
      </c>
      <c r="F15" s="45">
        <f ca="1">IF(F$6=OFFSET(Assumptions!$C$7,0,MATCH($A4,scenarios,0)-1)+OFFSET(Assumptions!$C$64,0,MATCH($A4,scenarios,0)-1),1,0)</f>
        <v>0</v>
      </c>
      <c r="G15" s="45">
        <f ca="1">IF(G$6=OFFSET(Assumptions!$C$7,0,MATCH($A4,scenarios,0)-1)+OFFSET(Assumptions!$C$64,0,MATCH($A4,scenarios,0)-1),1,0)</f>
        <v>0</v>
      </c>
      <c r="H15" s="45">
        <f ca="1">IF(H$6=OFFSET(Assumptions!$C$7,0,MATCH($A4,scenarios,0)-1)+OFFSET(Assumptions!$C$64,0,MATCH($A4,scenarios,0)-1),1,0)</f>
        <v>0</v>
      </c>
      <c r="I15" s="45">
        <f ca="1">IF(I$6=OFFSET(Assumptions!$C$7,0,MATCH($A4,scenarios,0)-1)+OFFSET(Assumptions!$C$64,0,MATCH($A4,scenarios,0)-1),1,0)</f>
        <v>0</v>
      </c>
      <c r="J15" s="45">
        <f ca="1">IF(J$6=OFFSET(Assumptions!$C$7,0,MATCH($A4,scenarios,0)-1)+OFFSET(Assumptions!$C$64,0,MATCH($A4,scenarios,0)-1),1,0)</f>
        <v>1</v>
      </c>
      <c r="K15" s="45">
        <f ca="1">IF(K$6=OFFSET(Assumptions!$C$7,0,MATCH($A4,scenarios,0)-1)+OFFSET(Assumptions!$C$64,0,MATCH($A4,scenarios,0)-1),1,0)</f>
        <v>0</v>
      </c>
      <c r="L15" s="45">
        <f ca="1">IF(L$6=OFFSET(Assumptions!$C$7,0,MATCH($A4,scenarios,0)-1)+OFFSET(Assumptions!$C$64,0,MATCH($A4,scenarios,0)-1),1,0)</f>
        <v>0</v>
      </c>
      <c r="M15" s="45">
        <f ca="1">IF(M$6=OFFSET(Assumptions!$C$7,0,MATCH($A4,scenarios,0)-1)+OFFSET(Assumptions!$C$64,0,MATCH($A4,scenarios,0)-1),1,0)</f>
        <v>0</v>
      </c>
      <c r="N15" s="45">
        <f ca="1">IF(N$6=OFFSET(Assumptions!$C$7,0,MATCH($A4,scenarios,0)-1)+OFFSET(Assumptions!$C$64,0,MATCH($A4,scenarios,0)-1),1,0)</f>
        <v>0</v>
      </c>
      <c r="O15" s="45">
        <f ca="1">IF(O$6=OFFSET(Assumptions!$C$7,0,MATCH($A4,scenarios,0)-1)+OFFSET(Assumptions!$C$64,0,MATCH($A4,scenarios,0)-1),1,0)</f>
        <v>0</v>
      </c>
      <c r="P15" s="45">
        <f ca="1">IF(P$6=OFFSET(Assumptions!$C$7,0,MATCH($A4,scenarios,0)-1)+OFFSET(Assumptions!$C$64,0,MATCH($A4,scenarios,0)-1),1,0)</f>
        <v>0</v>
      </c>
      <c r="Q15" s="45">
        <f ca="1">IF(Q$6=OFFSET(Assumptions!$C$7,0,MATCH($A4,scenarios,0)-1)+OFFSET(Assumptions!$C$64,0,MATCH($A4,scenarios,0)-1),1,0)</f>
        <v>0</v>
      </c>
      <c r="R15" s="45">
        <f ca="1">IF(R$6=OFFSET(Assumptions!$C$7,0,MATCH($A4,scenarios,0)-1)+OFFSET(Assumptions!$C$64,0,MATCH($A4,scenarios,0)-1),1,0)</f>
        <v>0</v>
      </c>
      <c r="S15" s="45">
        <f ca="1">IF(S$6=OFFSET(Assumptions!$C$7,0,MATCH($A4,scenarios,0)-1)+OFFSET(Assumptions!$C$64,0,MATCH($A4,scenarios,0)-1),1,0)</f>
        <v>0</v>
      </c>
      <c r="T15" s="45">
        <f ca="1">IF(T$6=OFFSET(Assumptions!$C$7,0,MATCH($A4,scenarios,0)-1)+OFFSET(Assumptions!$C$64,0,MATCH($A4,scenarios,0)-1),1,0)</f>
        <v>0</v>
      </c>
      <c r="U15" s="45">
        <f ca="1">IF(U$6=OFFSET(Assumptions!$C$7,0,MATCH($A4,scenarios,0)-1)+OFFSET(Assumptions!$C$64,0,MATCH($A4,scenarios,0)-1),1,0)</f>
        <v>0</v>
      </c>
      <c r="V15" s="45">
        <f ca="1">IF(V$6=OFFSET(Assumptions!$C$7,0,MATCH($A4,scenarios,0)-1)+OFFSET(Assumptions!$C$64,0,MATCH($A4,scenarios,0)-1),1,0)</f>
        <v>0</v>
      </c>
      <c r="W15" s="45">
        <f ca="1">IF(W$6=OFFSET(Assumptions!$C$7,0,MATCH($A4,scenarios,0)-1)+OFFSET(Assumptions!$C$64,0,MATCH($A4,scenarios,0)-1),1,0)</f>
        <v>0</v>
      </c>
      <c r="X15" s="45">
        <f ca="1">IF(X$6=OFFSET(Assumptions!$C$7,0,MATCH($A4,scenarios,0)-1)+OFFSET(Assumptions!$C$64,0,MATCH($A4,scenarios,0)-1),1,0)</f>
        <v>0</v>
      </c>
      <c r="Y15" s="45">
        <f ca="1">IF(Y$6=OFFSET(Assumptions!$C$7,0,MATCH($A4,scenarios,0)-1)+OFFSET(Assumptions!$C$64,0,MATCH($A4,scenarios,0)-1),1,0)</f>
        <v>0</v>
      </c>
      <c r="Z15" s="45">
        <f ca="1">IF(Z$6=OFFSET(Assumptions!$C$7,0,MATCH($A4,scenarios,0)-1)+OFFSET(Assumptions!$C$64,0,MATCH($A4,scenarios,0)-1),1,0)</f>
        <v>0</v>
      </c>
      <c r="AA15" s="45">
        <f ca="1">IF(AA$6=OFFSET(Assumptions!$C$7,0,MATCH($A4,scenarios,0)-1)+OFFSET(Assumptions!$C$64,0,MATCH($A4,scenarios,0)-1),1,0)</f>
        <v>0</v>
      </c>
      <c r="AB15" s="45">
        <f ca="1">IF(AB$6=OFFSET(Assumptions!$C$7,0,MATCH($A4,scenarios,0)-1)+OFFSET(Assumptions!$C$64,0,MATCH($A4,scenarios,0)-1),1,0)</f>
        <v>0</v>
      </c>
      <c r="AC15" s="45">
        <f ca="1">IF(AC$6=OFFSET(Assumptions!$C$7,0,MATCH($A4,scenarios,0)-1)+OFFSET(Assumptions!$C$64,0,MATCH($A4,scenarios,0)-1),1,0)</f>
        <v>0</v>
      </c>
    </row>
    <row r="16" spans="1:29" x14ac:dyDescent="0.25">
      <c r="A16" s="73" t="s">
        <v>123</v>
      </c>
      <c r="F16" s="45">
        <f ca="1">IF(F$6=OFFSET(Assumptions!$C$7,0,MATCH($A4,scenarios,0)-1)+OFFSET(Assumptions!$C$68,0,MATCH($A4,scenarios,0)-1),1,0)</f>
        <v>0</v>
      </c>
      <c r="G16" s="45">
        <f ca="1">IF(G$6=OFFSET(Assumptions!$C$7,0,MATCH($A4,scenarios,0)-1)+OFFSET(Assumptions!$C$68,0,MATCH($A4,scenarios,0)-1),1,0)</f>
        <v>0</v>
      </c>
      <c r="H16" s="45">
        <f ca="1">IF(H$6=OFFSET(Assumptions!$C$7,0,MATCH($A4,scenarios,0)-1)+OFFSET(Assumptions!$C$68,0,MATCH($A4,scenarios,0)-1),1,0)</f>
        <v>0</v>
      </c>
      <c r="I16" s="45">
        <f ca="1">IF(I$6=OFFSET(Assumptions!$C$7,0,MATCH($A4,scenarios,0)-1)+OFFSET(Assumptions!$C$68,0,MATCH($A4,scenarios,0)-1),1,0)</f>
        <v>0</v>
      </c>
      <c r="J16" s="45">
        <f ca="1">IF(J$6=OFFSET(Assumptions!$C$7,0,MATCH($A4,scenarios,0)-1)+OFFSET(Assumptions!$C$68,0,MATCH($A4,scenarios,0)-1),1,0)</f>
        <v>1</v>
      </c>
      <c r="K16" s="45">
        <f ca="1">IF(K$6=OFFSET(Assumptions!$C$7,0,MATCH($A4,scenarios,0)-1)+OFFSET(Assumptions!$C$68,0,MATCH($A4,scenarios,0)-1),1,0)</f>
        <v>0</v>
      </c>
      <c r="L16" s="45">
        <f ca="1">IF(L$6=OFFSET(Assumptions!$C$7,0,MATCH($A4,scenarios,0)-1)+OFFSET(Assumptions!$C$68,0,MATCH($A4,scenarios,0)-1),1,0)</f>
        <v>0</v>
      </c>
      <c r="M16" s="45">
        <f ca="1">IF(M$6=OFFSET(Assumptions!$C$7,0,MATCH($A4,scenarios,0)-1)+OFFSET(Assumptions!$C$68,0,MATCH($A4,scenarios,0)-1),1,0)</f>
        <v>0</v>
      </c>
      <c r="N16" s="45">
        <f ca="1">IF(N$6=OFFSET(Assumptions!$C$7,0,MATCH($A4,scenarios,0)-1)+OFFSET(Assumptions!$C$68,0,MATCH($A4,scenarios,0)-1),1,0)</f>
        <v>0</v>
      </c>
      <c r="O16" s="45">
        <f ca="1">IF(O$6=OFFSET(Assumptions!$C$7,0,MATCH($A4,scenarios,0)-1)+OFFSET(Assumptions!$C$68,0,MATCH($A4,scenarios,0)-1),1,0)</f>
        <v>0</v>
      </c>
      <c r="P16" s="45">
        <f ca="1">IF(P$6=OFFSET(Assumptions!$C$7,0,MATCH($A4,scenarios,0)-1)+OFFSET(Assumptions!$C$68,0,MATCH($A4,scenarios,0)-1),1,0)</f>
        <v>0</v>
      </c>
      <c r="Q16" s="45">
        <f ca="1">IF(Q$6=OFFSET(Assumptions!$C$7,0,MATCH($A4,scenarios,0)-1)+OFFSET(Assumptions!$C$68,0,MATCH($A4,scenarios,0)-1),1,0)</f>
        <v>0</v>
      </c>
      <c r="R16" s="45">
        <f ca="1">IF(R$6=OFFSET(Assumptions!$C$7,0,MATCH($A4,scenarios,0)-1)+OFFSET(Assumptions!$C$68,0,MATCH($A4,scenarios,0)-1),1,0)</f>
        <v>0</v>
      </c>
      <c r="S16" s="45">
        <f ca="1">IF(S$6=OFFSET(Assumptions!$C$7,0,MATCH($A4,scenarios,0)-1)+OFFSET(Assumptions!$C$68,0,MATCH($A4,scenarios,0)-1),1,0)</f>
        <v>0</v>
      </c>
      <c r="T16" s="45">
        <f ca="1">IF(T$6=OFFSET(Assumptions!$C$7,0,MATCH($A4,scenarios,0)-1)+OFFSET(Assumptions!$C$68,0,MATCH($A4,scenarios,0)-1),1,0)</f>
        <v>0</v>
      </c>
      <c r="U16" s="45">
        <f ca="1">IF(U$6=OFFSET(Assumptions!$C$7,0,MATCH($A4,scenarios,0)-1)+OFFSET(Assumptions!$C$68,0,MATCH($A4,scenarios,0)-1),1,0)</f>
        <v>0</v>
      </c>
      <c r="V16" s="45">
        <f ca="1">IF(V$6=OFFSET(Assumptions!$C$7,0,MATCH($A4,scenarios,0)-1)+OFFSET(Assumptions!$C$68,0,MATCH($A4,scenarios,0)-1),1,0)</f>
        <v>0</v>
      </c>
      <c r="W16" s="45">
        <f ca="1">IF(W$6=OFFSET(Assumptions!$C$7,0,MATCH($A4,scenarios,0)-1)+OFFSET(Assumptions!$C$68,0,MATCH($A4,scenarios,0)-1),1,0)</f>
        <v>0</v>
      </c>
      <c r="X16" s="45">
        <f ca="1">IF(X$6=OFFSET(Assumptions!$C$7,0,MATCH($A4,scenarios,0)-1)+OFFSET(Assumptions!$C$68,0,MATCH($A4,scenarios,0)-1),1,0)</f>
        <v>0</v>
      </c>
      <c r="Y16" s="45">
        <f ca="1">IF(Y$6=OFFSET(Assumptions!$C$7,0,MATCH($A4,scenarios,0)-1)+OFFSET(Assumptions!$C$68,0,MATCH($A4,scenarios,0)-1),1,0)</f>
        <v>0</v>
      </c>
      <c r="Z16" s="45">
        <f ca="1">IF(Z$6=OFFSET(Assumptions!$C$7,0,MATCH($A4,scenarios,0)-1)+OFFSET(Assumptions!$C$68,0,MATCH($A4,scenarios,0)-1),1,0)</f>
        <v>0</v>
      </c>
      <c r="AA16" s="45">
        <f ca="1">IF(AA$6=OFFSET(Assumptions!$C$7,0,MATCH($A4,scenarios,0)-1)+OFFSET(Assumptions!$C$68,0,MATCH($A4,scenarios,0)-1),1,0)</f>
        <v>0</v>
      </c>
      <c r="AB16" s="45">
        <f ca="1">IF(AB$6=OFFSET(Assumptions!$C$7,0,MATCH($A4,scenarios,0)-1)+OFFSET(Assumptions!$C$68,0,MATCH($A4,scenarios,0)-1),1,0)</f>
        <v>0</v>
      </c>
      <c r="AC16" s="45">
        <f ca="1">IF(AC$6=OFFSET(Assumptions!$C$7,0,MATCH($A4,scenarios,0)-1)+OFFSET(Assumptions!$C$68,0,MATCH($A4,scenarios,0)-1),1,0)</f>
        <v>0</v>
      </c>
    </row>
    <row r="17" spans="1:29" x14ac:dyDescent="0.25"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</row>
    <row r="18" spans="1:29" x14ac:dyDescent="0.25">
      <c r="A18" s="10" t="s">
        <v>10</v>
      </c>
      <c r="C18" s="10"/>
      <c r="D18" s="54">
        <f ca="1">AVERAGEIF($H$11:$AC$11,1,$H18:$AC18)</f>
        <v>8079.4496547803246</v>
      </c>
      <c r="E18" s="10"/>
      <c r="F18" s="74"/>
      <c r="G18" s="47"/>
      <c r="H18" s="47"/>
      <c r="I18" s="47">
        <f>Assumptions!$D$11</f>
        <v>6952</v>
      </c>
      <c r="J18" s="47">
        <f ca="1">I18*(1+OFFSET(Assumptions!$C$16,0,MATCH($A$4,scenarios,0)-1))</f>
        <v>7046.5472</v>
      </c>
      <c r="K18" s="47">
        <f ca="1">J18*(1+OFFSET(Assumptions!$C$16,0,MATCH($A$4,scenarios,0)-1))</f>
        <v>7142.3802419200001</v>
      </c>
      <c r="L18" s="47">
        <f ca="1">K18*(1+OFFSET(Assumptions!$C$16,0,MATCH($A$4,scenarios,0)-1))</f>
        <v>7239.5166132101122</v>
      </c>
      <c r="M18" s="47">
        <f ca="1">L18*(1+OFFSET(Assumptions!$C$16,0,MATCH($A$4,scenarios,0)-1))</f>
        <v>7337.9740391497699</v>
      </c>
      <c r="N18" s="47">
        <f ca="1">M18*(1+OFFSET(Assumptions!$C$16,0,MATCH($A$4,scenarios,0)-1))</f>
        <v>7437.7704860822068</v>
      </c>
      <c r="O18" s="47">
        <f ca="1">N18*(1+OFFSET(Assumptions!$C$16,0,MATCH($A$4,scenarios,0)-1))</f>
        <v>7538.9241646929249</v>
      </c>
      <c r="P18" s="47">
        <f ca="1">O18*(1+OFFSET(Assumptions!$C$16,0,MATCH($A$4,scenarios,0)-1))</f>
        <v>7641.4535333327494</v>
      </c>
      <c r="Q18" s="47">
        <f ca="1">P18*(1+OFFSET(Assumptions!$C$16,0,MATCH($A$4,scenarios,0)-1))</f>
        <v>7745.3773013860755</v>
      </c>
      <c r="R18" s="47">
        <f ca="1">Q18*(1+OFFSET(Assumptions!$C$16,0,MATCH($A$4,scenarios,0)-1))</f>
        <v>7850.7144326849266</v>
      </c>
      <c r="S18" s="47">
        <f ca="1">R18*(1+OFFSET(Assumptions!$C$16,0,MATCH($A$4,scenarios,0)-1))</f>
        <v>7957.4841489694418</v>
      </c>
      <c r="T18" s="47">
        <f ca="1">S18*(1+OFFSET(Assumptions!$C$16,0,MATCH($A$4,scenarios,0)-1))</f>
        <v>8065.7059333954267</v>
      </c>
      <c r="U18" s="47">
        <f ca="1">T18*(1+OFFSET(Assumptions!$C$16,0,MATCH($A$4,scenarios,0)-1))</f>
        <v>8175.3995340896054</v>
      </c>
      <c r="V18" s="47">
        <f ca="1">U18*(1+OFFSET(Assumptions!$C$16,0,MATCH($A$4,scenarios,0)-1))</f>
        <v>8286.5849677532242</v>
      </c>
      <c r="W18" s="47">
        <f ca="1">V18*(1+OFFSET(Assumptions!$C$16,0,MATCH($A$4,scenarios,0)-1))</f>
        <v>8399.2825233146687</v>
      </c>
      <c r="X18" s="47">
        <f ca="1">W18*(1+OFFSET(Assumptions!$C$16,0,MATCH($A$4,scenarios,0)-1))</f>
        <v>8513.5127656317491</v>
      </c>
      <c r="Y18" s="47">
        <f ca="1">X18*(1+OFFSET(Assumptions!$C$16,0,MATCH($A$4,scenarios,0)-1))</f>
        <v>8629.2965392443421</v>
      </c>
      <c r="Z18" s="47">
        <f ca="1">Y18*(1+OFFSET(Assumptions!$C$16,0,MATCH($A$4,scenarios,0)-1))</f>
        <v>8746.6549721780648</v>
      </c>
      <c r="AA18" s="47">
        <f ca="1">Z18*(1+OFFSET(Assumptions!$C$16,0,MATCH($A$4,scenarios,0)-1))</f>
        <v>8865.6094797996866</v>
      </c>
      <c r="AB18" s="47">
        <f ca="1">AA18*(1+OFFSET(Assumptions!$C$16,0,MATCH($A$4,scenarios,0)-1))</f>
        <v>8986.1817687249622</v>
      </c>
      <c r="AC18" s="47">
        <f ca="1">AB18*(1+OFFSET(Assumptions!$C$16,0,MATCH($A$4,scenarios,0)-1))</f>
        <v>9108.3938407796231</v>
      </c>
    </row>
    <row r="19" spans="1:29" x14ac:dyDescent="0.25">
      <c r="A19" s="10" t="s">
        <v>11</v>
      </c>
      <c r="C19" s="10"/>
      <c r="D19" s="54">
        <f ca="1">AVERAGEIF($H$11:$AC$11,1,$H19:$AC19)</f>
        <v>4602.218157786263</v>
      </c>
      <c r="E19" s="10"/>
      <c r="F19" s="74"/>
      <c r="G19" s="47"/>
      <c r="H19" s="47"/>
      <c r="I19" s="47">
        <f>Assumptions!$D$12</f>
        <v>3960.0000000000005</v>
      </c>
      <c r="J19" s="47">
        <f ca="1">I19*(1+OFFSET(Assumptions!$C$17,0,MATCH($A$4,scenarios,0)-1))</f>
        <v>4013.8560000000007</v>
      </c>
      <c r="K19" s="47">
        <f ca="1">J19*(1+OFFSET(Assumptions!$C$17,0,MATCH($A$4,scenarios,0)-1))</f>
        <v>4068.444441600001</v>
      </c>
      <c r="L19" s="47">
        <f ca="1">K19*(1+OFFSET(Assumptions!$C$17,0,MATCH($A$4,scenarios,0)-1))</f>
        <v>4123.7752860057617</v>
      </c>
      <c r="M19" s="47">
        <f ca="1">L19*(1+OFFSET(Assumptions!$C$17,0,MATCH($A$4,scenarios,0)-1))</f>
        <v>4179.8586298954406</v>
      </c>
      <c r="N19" s="47">
        <f ca="1">M19*(1+OFFSET(Assumptions!$C$17,0,MATCH($A$4,scenarios,0)-1))</f>
        <v>4236.7047072620189</v>
      </c>
      <c r="O19" s="47">
        <f ca="1">N19*(1+OFFSET(Assumptions!$C$17,0,MATCH($A$4,scenarios,0)-1))</f>
        <v>4294.3238912807828</v>
      </c>
      <c r="P19" s="47">
        <f ca="1">O19*(1+OFFSET(Assumptions!$C$17,0,MATCH($A$4,scenarios,0)-1))</f>
        <v>4352.7266962022013</v>
      </c>
      <c r="Q19" s="47">
        <f ca="1">P19*(1+OFFSET(Assumptions!$C$17,0,MATCH($A$4,scenarios,0)-1))</f>
        <v>4411.9237792705517</v>
      </c>
      <c r="R19" s="47">
        <f ca="1">Q19*(1+OFFSET(Assumptions!$C$17,0,MATCH($A$4,scenarios,0)-1))</f>
        <v>4471.9259426686313</v>
      </c>
      <c r="S19" s="47">
        <f ca="1">R19*(1+OFFSET(Assumptions!$C$17,0,MATCH($A$4,scenarios,0)-1))</f>
        <v>4532.7441354889252</v>
      </c>
      <c r="T19" s="47">
        <f ca="1">S19*(1+OFFSET(Assumptions!$C$17,0,MATCH($A$4,scenarios,0)-1))</f>
        <v>4594.3894557315753</v>
      </c>
      <c r="U19" s="47">
        <f ca="1">T19*(1+OFFSET(Assumptions!$C$17,0,MATCH($A$4,scenarios,0)-1))</f>
        <v>4656.8731523295246</v>
      </c>
      <c r="V19" s="47">
        <f ca="1">U19*(1+OFFSET(Assumptions!$C$17,0,MATCH($A$4,scenarios,0)-1))</f>
        <v>4720.2066272012062</v>
      </c>
      <c r="W19" s="47">
        <f ca="1">V19*(1+OFFSET(Assumptions!$C$17,0,MATCH($A$4,scenarios,0)-1))</f>
        <v>4784.4014373311429</v>
      </c>
      <c r="X19" s="47">
        <f ca="1">W19*(1+OFFSET(Assumptions!$C$17,0,MATCH($A$4,scenarios,0)-1))</f>
        <v>4849.4692968788468</v>
      </c>
      <c r="Y19" s="47">
        <f ca="1">X19*(1+OFFSET(Assumptions!$C$17,0,MATCH($A$4,scenarios,0)-1))</f>
        <v>4915.4220793163995</v>
      </c>
      <c r="Z19" s="47">
        <f ca="1">Y19*(1+OFFSET(Assumptions!$C$17,0,MATCH($A$4,scenarios,0)-1))</f>
        <v>4982.2718195951029</v>
      </c>
      <c r="AA19" s="47">
        <f ca="1">Z19*(1+OFFSET(Assumptions!$C$17,0,MATCH($A$4,scenarios,0)-1))</f>
        <v>5050.0307163415964</v>
      </c>
      <c r="AB19" s="47">
        <f ca="1">AA19*(1+OFFSET(Assumptions!$C$17,0,MATCH($A$4,scenarios,0)-1))</f>
        <v>5118.7111340838428</v>
      </c>
      <c r="AC19" s="47">
        <f ca="1">AB19*(1+OFFSET(Assumptions!$C$17,0,MATCH($A$4,scenarios,0)-1))</f>
        <v>5188.3256055073834</v>
      </c>
    </row>
    <row r="20" spans="1:29" x14ac:dyDescent="0.25">
      <c r="A20" s="10"/>
      <c r="C20" s="195"/>
      <c r="D20" s="10"/>
      <c r="E20" s="10"/>
      <c r="F20" s="47"/>
      <c r="G20" s="47"/>
      <c r="H20" s="47"/>
      <c r="I20" s="47"/>
      <c r="J20" s="191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29" x14ac:dyDescent="0.25">
      <c r="A21" s="12" t="s">
        <v>114</v>
      </c>
      <c r="G21" s="45"/>
      <c r="H21" s="45"/>
      <c r="I21" s="48"/>
      <c r="J21" s="45"/>
      <c r="K21" s="45"/>
      <c r="L21" s="45"/>
      <c r="M21" s="45"/>
    </row>
    <row r="22" spans="1:29" x14ac:dyDescent="0.25">
      <c r="A22" s="70" t="s">
        <v>133</v>
      </c>
      <c r="G22" s="45"/>
      <c r="H22" s="45"/>
      <c r="I22" s="48"/>
      <c r="J22" s="45"/>
      <c r="K22" s="45"/>
      <c r="L22" s="45"/>
      <c r="M22" s="45"/>
    </row>
    <row r="23" spans="1:29" s="21" customFormat="1" x14ac:dyDescent="0.25">
      <c r="A23" s="76" t="s">
        <v>33</v>
      </c>
      <c r="B23" s="44"/>
      <c r="D23" s="75">
        <f ca="1">OFFSET(Assumptions!$C$21,0,MATCH($A$4,scenarios,0)-1)</f>
        <v>0.1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</row>
    <row r="24" spans="1:29" s="21" customFormat="1" x14ac:dyDescent="0.25">
      <c r="A24" s="76" t="s">
        <v>46</v>
      </c>
      <c r="B24" s="44"/>
      <c r="D24" s="75">
        <f ca="1">OFFSET(Assumptions!$C$22,0,MATCH($A$4,scenarios,0)-1)</f>
        <v>1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</row>
    <row r="25" spans="1:29" s="21" customFormat="1" x14ac:dyDescent="0.25">
      <c r="A25" s="76" t="s">
        <v>38</v>
      </c>
      <c r="B25" s="44"/>
      <c r="D25" s="77">
        <f ca="1">OFFSET(Assumptions!$C$14,0,MATCH($A$4,scenarios,0)-1)</f>
        <v>400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</row>
    <row r="26" spans="1:29" s="21" customFormat="1" x14ac:dyDescent="0.25">
      <c r="A26" s="76" t="s">
        <v>39</v>
      </c>
      <c r="B26" s="44"/>
      <c r="D26" s="77">
        <f ca="1">OFFSET(Assumptions!$C$15,0,MATCH($A$4,scenarios,0)-1)</f>
        <v>50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</row>
    <row r="27" spans="1:29" s="21" customFormat="1" x14ac:dyDescent="0.25">
      <c r="A27" s="76" t="s">
        <v>134</v>
      </c>
      <c r="B27" s="44" t="s">
        <v>70</v>
      </c>
      <c r="C27" s="78"/>
      <c r="D27" s="79">
        <f ca="1">OFFSET(Assumptions!$C$23,0,MATCH($A$4,scenarios,0)-1)</f>
        <v>1.2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</row>
    <row r="28" spans="1:29" s="21" customFormat="1" x14ac:dyDescent="0.25">
      <c r="A28" s="76" t="s">
        <v>130</v>
      </c>
      <c r="B28" s="44" t="s">
        <v>4</v>
      </c>
      <c r="C28" s="78"/>
      <c r="D28" s="77">
        <f ca="1">OFFSET(Assumptions!$C$26,0,MATCH($A$4,scenarios,0)-1)</f>
        <v>300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</row>
    <row r="29" spans="1:29" s="21" customFormat="1" x14ac:dyDescent="0.25">
      <c r="A29" s="76" t="s">
        <v>137</v>
      </c>
      <c r="B29" s="44" t="s">
        <v>4</v>
      </c>
      <c r="C29" s="78"/>
      <c r="D29" s="77">
        <f ca="1">OFFSET(Assumptions!$C$27,0,MATCH($A$4,scenarios,0)-1)</f>
        <v>550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</row>
    <row r="30" spans="1:29" s="21" customFormat="1" x14ac:dyDescent="0.25">
      <c r="A30" s="76" t="s">
        <v>5</v>
      </c>
      <c r="B30" s="72"/>
      <c r="C30" s="78"/>
      <c r="D30" s="77">
        <f ca="1">OFFSET(Assumptions!$C$28,0,MATCH($A$4,scenarios,0)-1)</f>
        <v>90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</row>
    <row r="31" spans="1:29" s="21" customFormat="1" x14ac:dyDescent="0.25">
      <c r="A31" s="76"/>
      <c r="B31" s="44"/>
      <c r="D31" s="186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</row>
    <row r="32" spans="1:29" s="21" customFormat="1" x14ac:dyDescent="0.25">
      <c r="A32" s="21" t="s">
        <v>125</v>
      </c>
      <c r="B32" s="44"/>
      <c r="D32" s="54">
        <f ca="1">AVERAGEIF($H$11:$Z$11,1,$H32:$AC32)</f>
        <v>519.34449391600901</v>
      </c>
      <c r="E32" s="49"/>
      <c r="F32" s="50"/>
      <c r="G32" s="50"/>
      <c r="H32" s="50">
        <f ca="1">IF(H$11,H18/$H$18*($D$25+$D$26),0)</f>
        <v>0</v>
      </c>
      <c r="I32" s="50">
        <f t="shared" ref="I32:L32" ca="1" si="8">IF(I$11,I18/$I$18*($D$25+$D$26),0)</f>
        <v>0</v>
      </c>
      <c r="J32" s="50">
        <f t="shared" ca="1" si="8"/>
        <v>0</v>
      </c>
      <c r="K32" s="50">
        <f t="shared" ca="1" si="8"/>
        <v>0</v>
      </c>
      <c r="L32" s="50">
        <f t="shared" ca="1" si="8"/>
        <v>0</v>
      </c>
      <c r="M32" s="50">
        <f ca="1">IF(M$11,M18/$I$18*($D$25+$D$26),0)</f>
        <v>474.98393521539072</v>
      </c>
      <c r="N32" s="50">
        <f t="shared" ref="N32:Z32" ca="1" si="9">IF(N$11,N18/$I$18*($D$25+$D$26),0)</f>
        <v>481.44371673432005</v>
      </c>
      <c r="O32" s="50">
        <f t="shared" ca="1" si="9"/>
        <v>487.99135128190687</v>
      </c>
      <c r="P32" s="50">
        <f t="shared" ca="1" si="9"/>
        <v>494.62803365934082</v>
      </c>
      <c r="Q32" s="50">
        <f t="shared" ca="1" si="9"/>
        <v>501.35497491710782</v>
      </c>
      <c r="R32" s="50">
        <f t="shared" ca="1" si="9"/>
        <v>508.17340257598056</v>
      </c>
      <c r="S32" s="50">
        <f t="shared" ca="1" si="9"/>
        <v>515.08456085101398</v>
      </c>
      <c r="T32" s="50">
        <f t="shared" ca="1" si="9"/>
        <v>522.08971087858777</v>
      </c>
      <c r="U32" s="50">
        <f t="shared" ca="1" si="9"/>
        <v>529.19013094653667</v>
      </c>
      <c r="V32" s="50">
        <f t="shared" ca="1" si="9"/>
        <v>536.38711672740953</v>
      </c>
      <c r="W32" s="50">
        <f t="shared" ca="1" si="9"/>
        <v>543.6819815149023</v>
      </c>
      <c r="X32" s="50">
        <f t="shared" ca="1" si="9"/>
        <v>551.0760564635051</v>
      </c>
      <c r="Y32" s="50">
        <f t="shared" ca="1" si="9"/>
        <v>558.5706908314088</v>
      </c>
      <c r="Z32" s="50">
        <f t="shared" ca="1" si="9"/>
        <v>566.16725222671596</v>
      </c>
      <c r="AA32" s="50">
        <f t="shared" ref="AA32:AB32" ca="1" si="10">IF(AA$11,AA18/$I$18*($D$25+$D$26),0)</f>
        <v>573.86712685699922</v>
      </c>
      <c r="AB32" s="50">
        <f t="shared" ca="1" si="10"/>
        <v>0</v>
      </c>
      <c r="AC32" s="50">
        <f t="shared" ref="AC32" ca="1" si="11">IF(AC$11,AC18/$I$18*($D$25+$D$26),0)</f>
        <v>0</v>
      </c>
    </row>
    <row r="33" spans="1:29" s="21" customFormat="1" x14ac:dyDescent="0.25">
      <c r="A33" s="21" t="s">
        <v>126</v>
      </c>
      <c r="B33" s="44"/>
      <c r="C33" s="187"/>
      <c r="D33" s="54">
        <f ca="1">AVERAGEIF($H$11:$Z$11,1,$H33:$AC33)</f>
        <v>51.934449391600914</v>
      </c>
      <c r="E33" s="49"/>
      <c r="F33" s="50"/>
      <c r="G33" s="50"/>
      <c r="H33" s="50">
        <f ca="1">H$32*$D23*$D24</f>
        <v>0</v>
      </c>
      <c r="I33" s="50">
        <f t="shared" ref="I33:Z33" ca="1" si="12">I$32*$D23*$D24</f>
        <v>0</v>
      </c>
      <c r="J33" s="50">
        <f t="shared" ca="1" si="12"/>
        <v>0</v>
      </c>
      <c r="K33" s="50">
        <f t="shared" ca="1" si="12"/>
        <v>0</v>
      </c>
      <c r="L33" s="50">
        <f t="shared" ca="1" si="12"/>
        <v>0</v>
      </c>
      <c r="M33" s="50">
        <f t="shared" ca="1" si="12"/>
        <v>47.498393521539072</v>
      </c>
      <c r="N33" s="50">
        <f t="shared" ca="1" si="12"/>
        <v>48.144371673432005</v>
      </c>
      <c r="O33" s="50">
        <f t="shared" ca="1" si="12"/>
        <v>48.799135128190692</v>
      </c>
      <c r="P33" s="50">
        <f t="shared" ca="1" si="12"/>
        <v>49.462803365934086</v>
      </c>
      <c r="Q33" s="50">
        <f t="shared" ca="1" si="12"/>
        <v>50.135497491710787</v>
      </c>
      <c r="R33" s="50">
        <f t="shared" ca="1" si="12"/>
        <v>50.817340257598062</v>
      </c>
      <c r="S33" s="50">
        <f t="shared" ca="1" si="12"/>
        <v>51.5084560851014</v>
      </c>
      <c r="T33" s="50">
        <f t="shared" ca="1" si="12"/>
        <v>52.208971087858778</v>
      </c>
      <c r="U33" s="50">
        <f t="shared" ca="1" si="12"/>
        <v>52.919013094653671</v>
      </c>
      <c r="V33" s="50">
        <f t="shared" ca="1" si="12"/>
        <v>53.638711672740953</v>
      </c>
      <c r="W33" s="50">
        <f t="shared" ca="1" si="12"/>
        <v>54.368198151490233</v>
      </c>
      <c r="X33" s="50">
        <f t="shared" ca="1" si="12"/>
        <v>55.107605646350514</v>
      </c>
      <c r="Y33" s="50">
        <f t="shared" ca="1" si="12"/>
        <v>55.857069083140885</v>
      </c>
      <c r="Z33" s="50">
        <f t="shared" ca="1" si="12"/>
        <v>56.616725222671597</v>
      </c>
      <c r="AA33" s="50">
        <f t="shared" ref="AA33:AB33" ca="1" si="13">AA$32*$D23*$D24</f>
        <v>57.386712685699926</v>
      </c>
      <c r="AB33" s="50">
        <f t="shared" ca="1" si="13"/>
        <v>0</v>
      </c>
      <c r="AC33" s="50">
        <f t="shared" ref="AC33" ca="1" si="14">AC$32*$D23*$D24</f>
        <v>0</v>
      </c>
    </row>
    <row r="34" spans="1:29" s="21" customFormat="1" x14ac:dyDescent="0.25">
      <c r="A34" s="21" t="s">
        <v>53</v>
      </c>
      <c r="B34" s="44"/>
      <c r="F34" s="50"/>
      <c r="G34" s="50"/>
      <c r="H34" s="50">
        <f t="shared" ref="H34:L34" ca="1" si="15">H11*(H33-G33)</f>
        <v>0</v>
      </c>
      <c r="I34" s="50">
        <f t="shared" ca="1" si="15"/>
        <v>0</v>
      </c>
      <c r="J34" s="50">
        <f t="shared" ca="1" si="15"/>
        <v>0</v>
      </c>
      <c r="K34" s="50">
        <f t="shared" ca="1" si="15"/>
        <v>0</v>
      </c>
      <c r="L34" s="50">
        <f t="shared" ca="1" si="15"/>
        <v>0</v>
      </c>
      <c r="M34" s="50">
        <f ca="1">M11*(M33-L33)</f>
        <v>47.498393521539072</v>
      </c>
      <c r="N34" s="50">
        <f t="shared" ref="N34:AC34" ca="1" si="16">N11*(N33-M33)</f>
        <v>0.64597815189293328</v>
      </c>
      <c r="O34" s="50">
        <f t="shared" ca="1" si="16"/>
        <v>0.65476345475868669</v>
      </c>
      <c r="P34" s="50">
        <f t="shared" ca="1" si="16"/>
        <v>0.66366823774339423</v>
      </c>
      <c r="Q34" s="50">
        <f t="shared" ca="1" si="16"/>
        <v>0.67269412577670096</v>
      </c>
      <c r="R34" s="50">
        <f t="shared" ca="1" si="16"/>
        <v>0.68184276588727499</v>
      </c>
      <c r="S34" s="50">
        <f t="shared" ca="1" si="16"/>
        <v>0.69111582750333866</v>
      </c>
      <c r="T34" s="50">
        <f t="shared" ca="1" si="16"/>
        <v>0.70051500275737766</v>
      </c>
      <c r="U34" s="50">
        <f t="shared" ca="1" si="16"/>
        <v>0.71004200679489315</v>
      </c>
      <c r="V34" s="50">
        <f t="shared" ca="1" si="16"/>
        <v>0.71969857808728221</v>
      </c>
      <c r="W34" s="50">
        <f t="shared" ca="1" si="16"/>
        <v>0.72948647874927985</v>
      </c>
      <c r="X34" s="50">
        <f t="shared" ca="1" si="16"/>
        <v>0.73940749486028068</v>
      </c>
      <c r="Y34" s="50">
        <f t="shared" ca="1" si="16"/>
        <v>0.74946343679037142</v>
      </c>
      <c r="Z34" s="50">
        <f t="shared" ca="1" si="16"/>
        <v>0.75965613953071198</v>
      </c>
      <c r="AA34" s="50">
        <f t="shared" ca="1" si="16"/>
        <v>0.76998746302832899</v>
      </c>
      <c r="AB34" s="50">
        <f t="shared" ca="1" si="16"/>
        <v>0</v>
      </c>
      <c r="AC34" s="50">
        <f t="shared" ca="1" si="16"/>
        <v>0</v>
      </c>
    </row>
    <row r="35" spans="1:29" s="21" customFormat="1" x14ac:dyDescent="0.25">
      <c r="A35" s="21" t="s">
        <v>127</v>
      </c>
      <c r="B35" s="44"/>
      <c r="C35" s="51">
        <f ca="1">SUMPRODUCT($H35:$AC35,$H$8:$AC$8)</f>
        <v>48.405046941568237</v>
      </c>
      <c r="D35" s="51"/>
      <c r="E35" s="51"/>
      <c r="F35" s="50"/>
      <c r="G35" s="50"/>
      <c r="H35" s="50">
        <f ca="1">H34*$D27</f>
        <v>0</v>
      </c>
      <c r="I35" s="50">
        <f t="shared" ref="I35:Z35" ca="1" si="17">I34*$D27</f>
        <v>0</v>
      </c>
      <c r="J35" s="50">
        <f t="shared" ca="1" si="17"/>
        <v>0</v>
      </c>
      <c r="K35" s="50">
        <f t="shared" ca="1" si="17"/>
        <v>0</v>
      </c>
      <c r="L35" s="50">
        <f t="shared" ca="1" si="17"/>
        <v>0</v>
      </c>
      <c r="M35" s="50">
        <f ca="1">M34*$D27</f>
        <v>56.998072225846883</v>
      </c>
      <c r="N35" s="50">
        <f t="shared" ca="1" si="17"/>
        <v>0.7751737822715199</v>
      </c>
      <c r="O35" s="50">
        <f t="shared" ca="1" si="17"/>
        <v>0.78571614571042403</v>
      </c>
      <c r="P35" s="50">
        <f t="shared" ca="1" si="17"/>
        <v>0.79640188529207301</v>
      </c>
      <c r="Q35" s="50">
        <f t="shared" ca="1" si="17"/>
        <v>0.80723295093204117</v>
      </c>
      <c r="R35" s="50">
        <f t="shared" ca="1" si="17"/>
        <v>0.81821131906472999</v>
      </c>
      <c r="S35" s="50">
        <f t="shared" ca="1" si="17"/>
        <v>0.82933899300400638</v>
      </c>
      <c r="T35" s="50">
        <f t="shared" ca="1" si="17"/>
        <v>0.84061800330885317</v>
      </c>
      <c r="U35" s="50">
        <f t="shared" ca="1" si="17"/>
        <v>0.85205040815387179</v>
      </c>
      <c r="V35" s="50">
        <f t="shared" ca="1" si="17"/>
        <v>0.86363829370473866</v>
      </c>
      <c r="W35" s="50">
        <f t="shared" ca="1" si="17"/>
        <v>0.87538377449913585</v>
      </c>
      <c r="X35" s="50">
        <f t="shared" ca="1" si="17"/>
        <v>0.88728899383233684</v>
      </c>
      <c r="Y35" s="50">
        <f t="shared" ca="1" si="17"/>
        <v>0.89935612414844568</v>
      </c>
      <c r="Z35" s="50">
        <f t="shared" ca="1" si="17"/>
        <v>0.91158736743685431</v>
      </c>
      <c r="AA35" s="50">
        <f t="shared" ref="AA35:AB35" ca="1" si="18">AA34*$D27</f>
        <v>0.92398495563399474</v>
      </c>
      <c r="AB35" s="50">
        <f t="shared" ca="1" si="18"/>
        <v>0</v>
      </c>
      <c r="AC35" s="50">
        <f t="shared" ref="AC35" ca="1" si="19">AC34*$D27</f>
        <v>0</v>
      </c>
    </row>
    <row r="36" spans="1:29" s="21" customFormat="1" x14ac:dyDescent="0.25">
      <c r="A36" s="21" t="s">
        <v>128</v>
      </c>
      <c r="B36" s="44"/>
      <c r="C36" s="51"/>
      <c r="D36" s="51"/>
      <c r="E36" s="51"/>
      <c r="F36" s="50"/>
      <c r="G36" s="50"/>
      <c r="H36" s="50">
        <f ca="1">H$33*$D28*$D30/1000000</f>
        <v>0</v>
      </c>
      <c r="I36" s="50">
        <f t="shared" ref="I36:Z36" ca="1" si="20">I$33*$D28*$D30/1000000</f>
        <v>0</v>
      </c>
      <c r="J36" s="50">
        <f t="shared" ca="1" si="20"/>
        <v>0</v>
      </c>
      <c r="K36" s="50">
        <f t="shared" ca="1" si="20"/>
        <v>0</v>
      </c>
      <c r="L36" s="50">
        <f t="shared" ca="1" si="20"/>
        <v>0</v>
      </c>
      <c r="M36" s="50">
        <f t="shared" ca="1" si="20"/>
        <v>1.282456625081555</v>
      </c>
      <c r="N36" s="50">
        <f t="shared" ca="1" si="20"/>
        <v>1.2998980351826641</v>
      </c>
      <c r="O36" s="50">
        <f t="shared" ca="1" si="20"/>
        <v>1.3175766484611486</v>
      </c>
      <c r="P36" s="50">
        <f t="shared" ca="1" si="20"/>
        <v>1.3354956908802205</v>
      </c>
      <c r="Q36" s="50">
        <f t="shared" ca="1" si="20"/>
        <v>1.3536584322761911</v>
      </c>
      <c r="R36" s="50">
        <f t="shared" ca="1" si="20"/>
        <v>1.3720681869551477</v>
      </c>
      <c r="S36" s="50">
        <f t="shared" ca="1" si="20"/>
        <v>1.3907283142977378</v>
      </c>
      <c r="T36" s="50">
        <f t="shared" ca="1" si="20"/>
        <v>1.4096422193721871</v>
      </c>
      <c r="U36" s="50">
        <f t="shared" ca="1" si="20"/>
        <v>1.4288133535556493</v>
      </c>
      <c r="V36" s="50">
        <f t="shared" ca="1" si="20"/>
        <v>1.4482452151640057</v>
      </c>
      <c r="W36" s="50">
        <f t="shared" ca="1" si="20"/>
        <v>1.4679413500902361</v>
      </c>
      <c r="X36" s="50">
        <f t="shared" ca="1" si="20"/>
        <v>1.4879053524514638</v>
      </c>
      <c r="Y36" s="50">
        <f t="shared" ca="1" si="20"/>
        <v>1.5081408652448038</v>
      </c>
      <c r="Z36" s="50">
        <f t="shared" ca="1" si="20"/>
        <v>1.5286515810121331</v>
      </c>
      <c r="AA36" s="50">
        <f t="shared" ref="AA36:AB36" ca="1" si="21">AA$33*$D28*$D30/1000000</f>
        <v>1.5494412425138981</v>
      </c>
      <c r="AB36" s="50">
        <f t="shared" ca="1" si="21"/>
        <v>0</v>
      </c>
      <c r="AC36" s="50">
        <f t="shared" ref="AC36" ca="1" si="22">AC$33*$D28*$D30/1000000</f>
        <v>0</v>
      </c>
    </row>
    <row r="37" spans="1:29" s="21" customFormat="1" x14ac:dyDescent="0.25">
      <c r="A37" s="21" t="s">
        <v>129</v>
      </c>
      <c r="B37" s="44"/>
      <c r="C37" s="51"/>
      <c r="D37" s="51"/>
      <c r="E37" s="51"/>
      <c r="F37" s="50"/>
      <c r="G37" s="50"/>
      <c r="H37" s="50">
        <f ca="1">-H$33*$D29*$D30/1000000</f>
        <v>0</v>
      </c>
      <c r="I37" s="50">
        <f t="shared" ref="I37:Z37" ca="1" si="23">-I$33*$D29*$D30/1000000</f>
        <v>0</v>
      </c>
      <c r="J37" s="50">
        <f t="shared" ca="1" si="23"/>
        <v>0</v>
      </c>
      <c r="K37" s="50">
        <f t="shared" ca="1" si="23"/>
        <v>0</v>
      </c>
      <c r="L37" s="50">
        <f t="shared" ca="1" si="23"/>
        <v>0</v>
      </c>
      <c r="M37" s="50">
        <f t="shared" ca="1" si="23"/>
        <v>-2.3511704793161838</v>
      </c>
      <c r="N37" s="50">
        <f t="shared" ca="1" si="23"/>
        <v>-2.3831463978348846</v>
      </c>
      <c r="O37" s="50">
        <f t="shared" ca="1" si="23"/>
        <v>-2.4155571888454395</v>
      </c>
      <c r="P37" s="50">
        <f t="shared" ca="1" si="23"/>
        <v>-2.4484087666137371</v>
      </c>
      <c r="Q37" s="50">
        <f t="shared" ca="1" si="23"/>
        <v>-2.4817071258396841</v>
      </c>
      <c r="R37" s="50">
        <f t="shared" ca="1" si="23"/>
        <v>-2.5154583427511041</v>
      </c>
      <c r="S37" s="50">
        <f t="shared" ca="1" si="23"/>
        <v>-2.5496685762125195</v>
      </c>
      <c r="T37" s="50">
        <f t="shared" ca="1" si="23"/>
        <v>-2.5843440688490094</v>
      </c>
      <c r="U37" s="50">
        <f t="shared" ca="1" si="23"/>
        <v>-2.6194911481853564</v>
      </c>
      <c r="V37" s="50">
        <f t="shared" ca="1" si="23"/>
        <v>-2.655116227800677</v>
      </c>
      <c r="W37" s="50">
        <f t="shared" ca="1" si="23"/>
        <v>-2.6912258084987668</v>
      </c>
      <c r="X37" s="50">
        <f t="shared" ca="1" si="23"/>
        <v>-2.7278264794943503</v>
      </c>
      <c r="Y37" s="50">
        <f t="shared" ca="1" si="23"/>
        <v>-2.7649249196154742</v>
      </c>
      <c r="Z37" s="50">
        <f t="shared" ca="1" si="23"/>
        <v>-2.8025278985222442</v>
      </c>
      <c r="AA37" s="50">
        <f t="shared" ref="AA37:AB37" ca="1" si="24">-AA$33*$D29*$D30/1000000</f>
        <v>-2.8406422779421465</v>
      </c>
      <c r="AB37" s="50">
        <f t="shared" ca="1" si="24"/>
        <v>0</v>
      </c>
      <c r="AC37" s="50">
        <f t="shared" ref="AC37" ca="1" si="25">-AC$33*$D29*$D30/1000000</f>
        <v>0</v>
      </c>
    </row>
    <row r="38" spans="1:29" s="21" customFormat="1" x14ac:dyDescent="0.25">
      <c r="A38" s="21" t="s">
        <v>135</v>
      </c>
      <c r="B38" s="44"/>
      <c r="C38" s="51">
        <f ca="1">SUMPRODUCT($H38:$AC38,$H$8:$AC$8)</f>
        <v>-8.9215261097421692</v>
      </c>
      <c r="D38" s="54">
        <f ca="1">AVERAGEIF($H$11:$AC$11,1,$H38:$AC38)</f>
        <v>-1.1767035062521691</v>
      </c>
      <c r="E38" s="49"/>
      <c r="F38" s="52"/>
      <c r="G38" s="52"/>
      <c r="H38" s="50">
        <f t="shared" ref="H38" ca="1" si="26">H36+H37</f>
        <v>0</v>
      </c>
      <c r="I38" s="50">
        <f t="shared" ref="I38" ca="1" si="27">I36+I37</f>
        <v>0</v>
      </c>
      <c r="J38" s="50">
        <f t="shared" ref="J38" ca="1" si="28">J36+J37</f>
        <v>0</v>
      </c>
      <c r="K38" s="50">
        <f t="shared" ref="K38" ca="1" si="29">K36+K37</f>
        <v>0</v>
      </c>
      <c r="L38" s="50">
        <f t="shared" ref="L38" ca="1" si="30">L36+L37</f>
        <v>0</v>
      </c>
      <c r="M38" s="50">
        <f t="shared" ref="M38" ca="1" si="31">M36+M37</f>
        <v>-1.0687138542346288</v>
      </c>
      <c r="N38" s="50">
        <f t="shared" ref="N38" ca="1" si="32">N36+N37</f>
        <v>-1.0832483626522205</v>
      </c>
      <c r="O38" s="50">
        <f t="shared" ref="O38" ca="1" si="33">O36+O37</f>
        <v>-1.0979805403842908</v>
      </c>
      <c r="P38" s="50">
        <f t="shared" ref="P38" ca="1" si="34">P36+P37</f>
        <v>-1.1129130757335166</v>
      </c>
      <c r="Q38" s="50">
        <f t="shared" ref="Q38" ca="1" si="35">Q36+Q37</f>
        <v>-1.128048693563493</v>
      </c>
      <c r="R38" s="50">
        <f t="shared" ref="R38" ca="1" si="36">R36+R37</f>
        <v>-1.1433901557959565</v>
      </c>
      <c r="S38" s="50">
        <f t="shared" ref="S38" ca="1" si="37">S36+S37</f>
        <v>-1.1589402619147817</v>
      </c>
      <c r="T38" s="50">
        <f t="shared" ref="T38" ca="1" si="38">T36+T37</f>
        <v>-1.1747018494768222</v>
      </c>
      <c r="U38" s="50">
        <f t="shared" ref="U38" ca="1" si="39">U36+U37</f>
        <v>-1.1906777946297071</v>
      </c>
      <c r="V38" s="50">
        <f t="shared" ref="V38" ca="1" si="40">V36+V37</f>
        <v>-1.2068710126366713</v>
      </c>
      <c r="W38" s="50">
        <f t="shared" ref="W38" ca="1" si="41">W36+W37</f>
        <v>-1.2232844584085307</v>
      </c>
      <c r="X38" s="50">
        <f t="shared" ref="X38" ca="1" si="42">X36+X37</f>
        <v>-1.2399211270428865</v>
      </c>
      <c r="Y38" s="50">
        <f t="shared" ref="Y38" ca="1" si="43">Y36+Y37</f>
        <v>-1.2567840543706703</v>
      </c>
      <c r="Z38" s="50">
        <f t="shared" ref="Z38:AB38" ca="1" si="44">Z36+Z37</f>
        <v>-1.2738763175101111</v>
      </c>
      <c r="AA38" s="50">
        <f t="shared" ca="1" si="44"/>
        <v>-1.2912010354282484</v>
      </c>
      <c r="AB38" s="50">
        <f t="shared" ca="1" si="44"/>
        <v>0</v>
      </c>
      <c r="AC38" s="50">
        <f t="shared" ref="AC38" ca="1" si="45">AC36+AC37</f>
        <v>0</v>
      </c>
    </row>
    <row r="39" spans="1:29" s="21" customFormat="1" x14ac:dyDescent="0.25">
      <c r="A39" s="21" t="s">
        <v>52</v>
      </c>
      <c r="B39" s="44"/>
      <c r="D39" s="51">
        <f ca="1">SUMPRODUCT($H39:$AC39,$H$8:$AC$8)</f>
        <v>39.48352083182607</v>
      </c>
      <c r="E39" s="51"/>
      <c r="F39" s="50"/>
      <c r="G39" s="50"/>
      <c r="H39" s="50">
        <f ca="1">H35+H38</f>
        <v>0</v>
      </c>
      <c r="I39" s="50">
        <f t="shared" ref="I39:Z39" ca="1" si="46">I35+I38</f>
        <v>0</v>
      </c>
      <c r="J39" s="50">
        <f t="shared" ca="1" si="46"/>
        <v>0</v>
      </c>
      <c r="K39" s="50">
        <f t="shared" ca="1" si="46"/>
        <v>0</v>
      </c>
      <c r="L39" s="50">
        <f t="shared" ca="1" si="46"/>
        <v>0</v>
      </c>
      <c r="M39" s="50">
        <f t="shared" ca="1" si="46"/>
        <v>55.929358371612253</v>
      </c>
      <c r="N39" s="50">
        <f t="shared" ca="1" si="46"/>
        <v>-0.30807458038070057</v>
      </c>
      <c r="O39" s="50">
        <f t="shared" ca="1" si="46"/>
        <v>-0.3122643946738668</v>
      </c>
      <c r="P39" s="50">
        <f t="shared" ca="1" si="46"/>
        <v>-0.3165111904414436</v>
      </c>
      <c r="Q39" s="50">
        <f t="shared" ca="1" si="46"/>
        <v>-0.32081574263145185</v>
      </c>
      <c r="R39" s="50">
        <f t="shared" ca="1" si="46"/>
        <v>-0.32517883673122649</v>
      </c>
      <c r="S39" s="50">
        <f t="shared" ca="1" si="46"/>
        <v>-0.32960126891077535</v>
      </c>
      <c r="T39" s="50">
        <f t="shared" ca="1" si="46"/>
        <v>-0.33408384616796905</v>
      </c>
      <c r="U39" s="50">
        <f t="shared" ca="1" si="46"/>
        <v>-0.33862738647583535</v>
      </c>
      <c r="V39" s="50">
        <f t="shared" ca="1" si="46"/>
        <v>-0.34323271893193263</v>
      </c>
      <c r="W39" s="50">
        <f t="shared" ca="1" si="46"/>
        <v>-0.34790068390939488</v>
      </c>
      <c r="X39" s="50">
        <f t="shared" ca="1" si="46"/>
        <v>-0.35263213321054965</v>
      </c>
      <c r="Y39" s="50">
        <f t="shared" ca="1" si="46"/>
        <v>-0.35742793022222463</v>
      </c>
      <c r="Z39" s="50">
        <f t="shared" ca="1" si="46"/>
        <v>-0.36228895007325679</v>
      </c>
      <c r="AA39" s="50">
        <f t="shared" ref="AA39:AB39" ca="1" si="47">AA35+AA38</f>
        <v>-0.36721607979425364</v>
      </c>
      <c r="AB39" s="50">
        <f t="shared" ca="1" si="47"/>
        <v>0</v>
      </c>
      <c r="AC39" s="50">
        <f t="shared" ref="AC39" ca="1" si="48">AC35+AC38</f>
        <v>0</v>
      </c>
    </row>
    <row r="40" spans="1:29" s="21" customFormat="1" x14ac:dyDescent="0.25">
      <c r="B40" s="44"/>
      <c r="C40" s="51"/>
      <c r="D40" s="51"/>
      <c r="E40" s="51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</row>
    <row r="41" spans="1:29" s="21" customFormat="1" x14ac:dyDescent="0.25">
      <c r="A41" s="12" t="s">
        <v>115</v>
      </c>
      <c r="B41" s="44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</row>
    <row r="42" spans="1:29" s="21" customFormat="1" x14ac:dyDescent="0.25">
      <c r="A42" s="70" t="s">
        <v>133</v>
      </c>
      <c r="B42" s="44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</row>
    <row r="43" spans="1:29" s="21" customFormat="1" x14ac:dyDescent="0.25">
      <c r="A43" s="76" t="s">
        <v>71</v>
      </c>
      <c r="B43" s="44"/>
      <c r="D43" s="75">
        <f ca="1">OFFSET(Assumptions!$C$32,0,MATCH($A$4,scenarios,0)-1)</f>
        <v>0.12</v>
      </c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</row>
    <row r="44" spans="1:29" s="21" customFormat="1" x14ac:dyDescent="0.25">
      <c r="A44" s="76" t="s">
        <v>13</v>
      </c>
      <c r="B44" s="44"/>
      <c r="D44" s="75">
        <f ca="1">OFFSET(Assumptions!$C$33,0,MATCH($A$4,scenarios,0)-1)</f>
        <v>0.05</v>
      </c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</row>
    <row r="45" spans="1:29" s="21" customFormat="1" x14ac:dyDescent="0.25">
      <c r="A45" s="76" t="s">
        <v>46</v>
      </c>
      <c r="B45" s="44"/>
      <c r="D45" s="75">
        <f ca="1">OFFSET(Assumptions!$C$22,0,MATCH($A$4,scenarios,0)-1)</f>
        <v>1</v>
      </c>
      <c r="F45" s="53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</row>
    <row r="46" spans="1:29" s="21" customFormat="1" x14ac:dyDescent="0.25">
      <c r="A46" s="76" t="s">
        <v>136</v>
      </c>
      <c r="B46" s="44" t="s">
        <v>4</v>
      </c>
      <c r="D46" s="77">
        <f ca="1">OFFSET(Assumptions!$C$36,0,MATCH($A$4,scenarios,0)-1)</f>
        <v>800</v>
      </c>
      <c r="F46" s="53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</row>
    <row r="47" spans="1:29" s="21" customFormat="1" ht="14.25" x14ac:dyDescent="0.2">
      <c r="F47" s="53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</row>
    <row r="48" spans="1:29" s="21" customFormat="1" x14ac:dyDescent="0.25">
      <c r="A48" s="21" t="s">
        <v>51</v>
      </c>
      <c r="B48" s="44"/>
      <c r="D48" s="54">
        <f ca="1">AVERAGEIF($H$11:$AC$11,1,$H48:$AC48)</f>
        <v>24.2466836118546</v>
      </c>
      <c r="E48" s="54"/>
      <c r="F48" s="53"/>
      <c r="H48" s="55">
        <f ca="1">H$12*H$19*$D43*$D44*$D45*H$11</f>
        <v>0</v>
      </c>
      <c r="I48" s="55">
        <f t="shared" ref="I48:L48" ca="1" si="49">I$12*I$19*$D43*$D44*$D45*I$11</f>
        <v>0</v>
      </c>
      <c r="J48" s="55">
        <f t="shared" ca="1" si="49"/>
        <v>0</v>
      </c>
      <c r="K48" s="55">
        <f t="shared" ca="1" si="49"/>
        <v>0</v>
      </c>
      <c r="L48" s="55">
        <f t="shared" ca="1" si="49"/>
        <v>0</v>
      </c>
      <c r="M48" s="55">
        <f ca="1">M$12*M$19*$D43*$D44*$D45*M$11</f>
        <v>0</v>
      </c>
      <c r="N48" s="55">
        <f t="shared" ref="N48:AC48" ca="1" si="50">N$12*N$19*$D43*$D44*$D45*N$11</f>
        <v>0</v>
      </c>
      <c r="O48" s="55">
        <f t="shared" ca="1" si="50"/>
        <v>25.765943347684697</v>
      </c>
      <c r="P48" s="55">
        <f t="shared" ca="1" si="50"/>
        <v>26.11636017721321</v>
      </c>
      <c r="Q48" s="55">
        <f t="shared" ca="1" si="50"/>
        <v>26.471542675623311</v>
      </c>
      <c r="R48" s="55">
        <f t="shared" ca="1" si="50"/>
        <v>26.831555656011787</v>
      </c>
      <c r="S48" s="55">
        <f t="shared" ca="1" si="50"/>
        <v>27.196464812933552</v>
      </c>
      <c r="T48" s="55">
        <f t="shared" ca="1" si="50"/>
        <v>27.566336734389452</v>
      </c>
      <c r="U48" s="55">
        <f t="shared" ca="1" si="50"/>
        <v>27.941238913977145</v>
      </c>
      <c r="V48" s="55">
        <f t="shared" ca="1" si="50"/>
        <v>28.321239763207235</v>
      </c>
      <c r="W48" s="55">
        <f t="shared" ca="1" si="50"/>
        <v>28.70640862398686</v>
      </c>
      <c r="X48" s="55">
        <f t="shared" ca="1" si="50"/>
        <v>29.096815781273079</v>
      </c>
      <c r="Y48" s="55">
        <f t="shared" ca="1" si="50"/>
        <v>29.492532475898397</v>
      </c>
      <c r="Z48" s="55">
        <f t="shared" ca="1" si="50"/>
        <v>29.893630917570619</v>
      </c>
      <c r="AA48" s="55">
        <f t="shared" ca="1" si="50"/>
        <v>30.300184298049579</v>
      </c>
      <c r="AB48" s="55">
        <f t="shared" ca="1" si="50"/>
        <v>0</v>
      </c>
      <c r="AC48" s="55">
        <f t="shared" ca="1" si="50"/>
        <v>0</v>
      </c>
    </row>
    <row r="49" spans="1:29" s="21" customFormat="1" x14ac:dyDescent="0.25">
      <c r="A49" s="21" t="s">
        <v>54</v>
      </c>
      <c r="B49" s="44"/>
      <c r="F49" s="55"/>
      <c r="G49" s="55"/>
      <c r="H49" s="55">
        <f ca="1">(H48-G48)*H11</f>
        <v>0</v>
      </c>
      <c r="I49" s="55">
        <f t="shared" ref="I49:AC49" ca="1" si="51">(I48-H48)*I11</f>
        <v>0</v>
      </c>
      <c r="J49" s="55">
        <f t="shared" ca="1" si="51"/>
        <v>0</v>
      </c>
      <c r="K49" s="55">
        <f t="shared" ca="1" si="51"/>
        <v>0</v>
      </c>
      <c r="L49" s="55">
        <f t="shared" ca="1" si="51"/>
        <v>0</v>
      </c>
      <c r="M49" s="55">
        <f t="shared" ca="1" si="51"/>
        <v>0</v>
      </c>
      <c r="N49" s="55">
        <f t="shared" ca="1" si="51"/>
        <v>0</v>
      </c>
      <c r="O49" s="55">
        <f t="shared" ca="1" si="51"/>
        <v>25.765943347684697</v>
      </c>
      <c r="P49" s="55">
        <f t="shared" ca="1" si="51"/>
        <v>0.35041682952851261</v>
      </c>
      <c r="Q49" s="55">
        <f t="shared" ca="1" si="51"/>
        <v>0.35518249841010174</v>
      </c>
      <c r="R49" s="55">
        <f t="shared" ca="1" si="51"/>
        <v>0.36001298038847551</v>
      </c>
      <c r="S49" s="55">
        <f t="shared" ca="1" si="51"/>
        <v>0.36490915692176529</v>
      </c>
      <c r="T49" s="55">
        <f t="shared" ca="1" si="51"/>
        <v>0.36987192145589987</v>
      </c>
      <c r="U49" s="55">
        <f t="shared" ca="1" si="51"/>
        <v>0.37490217958769279</v>
      </c>
      <c r="V49" s="55">
        <f t="shared" ca="1" si="51"/>
        <v>0.3800008492300897</v>
      </c>
      <c r="W49" s="55">
        <f t="shared" ca="1" si="51"/>
        <v>0.38516886077962553</v>
      </c>
      <c r="X49" s="55">
        <f t="shared" ca="1" si="51"/>
        <v>0.39040715728621933</v>
      </c>
      <c r="Y49" s="55">
        <f t="shared" ca="1" si="51"/>
        <v>0.39571669462531744</v>
      </c>
      <c r="Z49" s="55">
        <f t="shared" ca="1" si="51"/>
        <v>0.40109844167222164</v>
      </c>
      <c r="AA49" s="55">
        <f t="shared" ca="1" si="51"/>
        <v>0.40655338047896095</v>
      </c>
      <c r="AB49" s="55">
        <f t="shared" ca="1" si="51"/>
        <v>0</v>
      </c>
      <c r="AC49" s="55">
        <f t="shared" ca="1" si="51"/>
        <v>0</v>
      </c>
    </row>
    <row r="50" spans="1:29" s="21" customFormat="1" x14ac:dyDescent="0.25">
      <c r="A50" s="21" t="s">
        <v>127</v>
      </c>
      <c r="B50" s="44"/>
      <c r="C50" s="51">
        <f ca="1">SUMPRODUCT($H50:$AC50,$H$8:$AC$8)</f>
        <v>23.067693232035904</v>
      </c>
      <c r="D50" s="51"/>
      <c r="E50" s="51"/>
      <c r="F50" s="50"/>
      <c r="G50" s="50"/>
      <c r="H50" s="50">
        <f ca="1">H49*$D27</f>
        <v>0</v>
      </c>
      <c r="I50" s="50">
        <f t="shared" ref="I50:Z50" ca="1" si="52">I49*$D27</f>
        <v>0</v>
      </c>
      <c r="J50" s="50">
        <f t="shared" ca="1" si="52"/>
        <v>0</v>
      </c>
      <c r="K50" s="50">
        <f t="shared" ca="1" si="52"/>
        <v>0</v>
      </c>
      <c r="L50" s="50">
        <f t="shared" ca="1" si="52"/>
        <v>0</v>
      </c>
      <c r="M50" s="50">
        <f t="shared" ca="1" si="52"/>
        <v>0</v>
      </c>
      <c r="N50" s="50">
        <f t="shared" ca="1" si="52"/>
        <v>0</v>
      </c>
      <c r="O50" s="50">
        <f t="shared" ca="1" si="52"/>
        <v>30.919132017221635</v>
      </c>
      <c r="P50" s="50">
        <f t="shared" ca="1" si="52"/>
        <v>0.42050019543421513</v>
      </c>
      <c r="Q50" s="50">
        <f t="shared" ca="1" si="52"/>
        <v>0.4262189980921221</v>
      </c>
      <c r="R50" s="50">
        <f t="shared" ca="1" si="52"/>
        <v>0.43201557646617061</v>
      </c>
      <c r="S50" s="50">
        <f t="shared" ca="1" si="52"/>
        <v>0.43789098830611833</v>
      </c>
      <c r="T50" s="50">
        <f t="shared" ca="1" si="52"/>
        <v>0.44384630574707984</v>
      </c>
      <c r="U50" s="50">
        <f t="shared" ca="1" si="52"/>
        <v>0.44988261550523134</v>
      </c>
      <c r="V50" s="50">
        <f t="shared" ca="1" si="52"/>
        <v>0.45600101907610763</v>
      </c>
      <c r="W50" s="50">
        <f t="shared" ca="1" si="52"/>
        <v>0.46220263293555064</v>
      </c>
      <c r="X50" s="50">
        <f t="shared" ca="1" si="52"/>
        <v>0.46848858874346316</v>
      </c>
      <c r="Y50" s="50">
        <f t="shared" ca="1" si="52"/>
        <v>0.47486003355038092</v>
      </c>
      <c r="Z50" s="50">
        <f t="shared" ca="1" si="52"/>
        <v>0.48131813000666596</v>
      </c>
      <c r="AA50" s="50">
        <f t="shared" ref="AA50:AB50" ca="1" si="53">AA49*$D27</f>
        <v>0.48786405657475312</v>
      </c>
      <c r="AB50" s="50">
        <f t="shared" ca="1" si="53"/>
        <v>0</v>
      </c>
      <c r="AC50" s="50">
        <f t="shared" ref="AC50" ca="1" si="54">AC49*$D27</f>
        <v>0</v>
      </c>
    </row>
    <row r="51" spans="1:29" s="21" customFormat="1" x14ac:dyDescent="0.25">
      <c r="A51" s="21" t="s">
        <v>128</v>
      </c>
      <c r="B51" s="44"/>
      <c r="C51" s="51"/>
      <c r="D51" s="51"/>
      <c r="E51" s="51"/>
      <c r="F51" s="50"/>
      <c r="G51" s="50"/>
      <c r="H51" s="50">
        <f ca="1">H$48*$D28*$D30/1000000</f>
        <v>0</v>
      </c>
      <c r="I51" s="50">
        <f t="shared" ref="I51:Z51" ca="1" si="55">I$48*$D28*$D30/1000000</f>
        <v>0</v>
      </c>
      <c r="J51" s="50">
        <f t="shared" ca="1" si="55"/>
        <v>0</v>
      </c>
      <c r="K51" s="50">
        <f t="shared" ca="1" si="55"/>
        <v>0</v>
      </c>
      <c r="L51" s="50">
        <f t="shared" ca="1" si="55"/>
        <v>0</v>
      </c>
      <c r="M51" s="50">
        <f t="shared" ca="1" si="55"/>
        <v>0</v>
      </c>
      <c r="N51" s="50">
        <f t="shared" ca="1" si="55"/>
        <v>0</v>
      </c>
      <c r="O51" s="50">
        <f t="shared" ca="1" si="55"/>
        <v>0.69568047038748682</v>
      </c>
      <c r="P51" s="50">
        <f t="shared" ca="1" si="55"/>
        <v>0.70514172478475667</v>
      </c>
      <c r="Q51" s="50">
        <f t="shared" ca="1" si="55"/>
        <v>0.71473165224182944</v>
      </c>
      <c r="R51" s="50">
        <f t="shared" ca="1" si="55"/>
        <v>0.72445200271231824</v>
      </c>
      <c r="S51" s="50">
        <f t="shared" ca="1" si="55"/>
        <v>0.73430454994920591</v>
      </c>
      <c r="T51" s="50">
        <f t="shared" ca="1" si="55"/>
        <v>0.74429109182851527</v>
      </c>
      <c r="U51" s="50">
        <f t="shared" ca="1" si="55"/>
        <v>0.75441345067738297</v>
      </c>
      <c r="V51" s="50">
        <f t="shared" ca="1" si="55"/>
        <v>0.76467347360659532</v>
      </c>
      <c r="W51" s="50">
        <f t="shared" ca="1" si="55"/>
        <v>0.77507303284764539</v>
      </c>
      <c r="X51" s="50">
        <f t="shared" ca="1" si="55"/>
        <v>0.78561402609437303</v>
      </c>
      <c r="Y51" s="50">
        <f t="shared" ca="1" si="55"/>
        <v>0.79629837684925664</v>
      </c>
      <c r="Z51" s="50">
        <f t="shared" ca="1" si="55"/>
        <v>0.80712803477440664</v>
      </c>
      <c r="AA51" s="50">
        <f t="shared" ref="AA51:AB51" ca="1" si="56">AA$48*$D28*$D30/1000000</f>
        <v>0.81810497604733856</v>
      </c>
      <c r="AB51" s="50">
        <f t="shared" ca="1" si="56"/>
        <v>0</v>
      </c>
      <c r="AC51" s="50">
        <f t="shared" ref="AC51" ca="1" si="57">AC$48*$D28*$D30/1000000</f>
        <v>0</v>
      </c>
    </row>
    <row r="52" spans="1:29" s="21" customFormat="1" x14ac:dyDescent="0.25">
      <c r="A52" s="21" t="s">
        <v>129</v>
      </c>
      <c r="B52" s="44"/>
      <c r="C52" s="51"/>
      <c r="D52" s="51"/>
      <c r="E52" s="51"/>
      <c r="F52" s="50"/>
      <c r="G52" s="50"/>
      <c r="H52" s="50">
        <f t="shared" ref="H52:Z52" ca="1" si="58">-H$48*$D46*$D30/1000000</f>
        <v>0</v>
      </c>
      <c r="I52" s="50">
        <f t="shared" ca="1" si="58"/>
        <v>0</v>
      </c>
      <c r="J52" s="50">
        <f t="shared" ca="1" si="58"/>
        <v>0</v>
      </c>
      <c r="K52" s="50">
        <f t="shared" ca="1" si="58"/>
        <v>0</v>
      </c>
      <c r="L52" s="50">
        <f t="shared" ca="1" si="58"/>
        <v>0</v>
      </c>
      <c r="M52" s="50">
        <f t="shared" ca="1" si="58"/>
        <v>0</v>
      </c>
      <c r="N52" s="50">
        <f t="shared" ca="1" si="58"/>
        <v>0</v>
      </c>
      <c r="O52" s="50">
        <f t="shared" ca="1" si="58"/>
        <v>-1.8551479210332982</v>
      </c>
      <c r="P52" s="50">
        <f t="shared" ca="1" si="58"/>
        <v>-1.8803779327593511</v>
      </c>
      <c r="Q52" s="50">
        <f t="shared" ca="1" si="58"/>
        <v>-1.9059510726448787</v>
      </c>
      <c r="R52" s="50">
        <f t="shared" ca="1" si="58"/>
        <v>-1.9318720072328488</v>
      </c>
      <c r="S52" s="50">
        <f t="shared" ca="1" si="58"/>
        <v>-1.9581454665312157</v>
      </c>
      <c r="T52" s="50">
        <f t="shared" ca="1" si="58"/>
        <v>-1.9847762448760407</v>
      </c>
      <c r="U52" s="50">
        <f t="shared" ca="1" si="58"/>
        <v>-2.0117692018063544</v>
      </c>
      <c r="V52" s="50">
        <f t="shared" ca="1" si="58"/>
        <v>-2.039129262950921</v>
      </c>
      <c r="W52" s="50">
        <f t="shared" ca="1" si="58"/>
        <v>-2.0668614209270539</v>
      </c>
      <c r="X52" s="50">
        <f t="shared" ca="1" si="58"/>
        <v>-2.0949707362516619</v>
      </c>
      <c r="Y52" s="50">
        <f t="shared" ca="1" si="58"/>
        <v>-2.1234623382646847</v>
      </c>
      <c r="Z52" s="50">
        <f t="shared" ca="1" si="58"/>
        <v>-2.1523414260650844</v>
      </c>
      <c r="AA52" s="50">
        <f t="shared" ref="AA52:AB52" ca="1" si="59">-AA$48*$D46*$D30/1000000</f>
        <v>-2.1816132694595698</v>
      </c>
      <c r="AB52" s="50">
        <f t="shared" ca="1" si="59"/>
        <v>0</v>
      </c>
      <c r="AC52" s="50">
        <f t="shared" ref="AC52" ca="1" si="60">-AC$48*$D46*$D30/1000000</f>
        <v>0</v>
      </c>
    </row>
    <row r="53" spans="1:29" s="21" customFormat="1" x14ac:dyDescent="0.25">
      <c r="A53" s="21" t="s">
        <v>135</v>
      </c>
      <c r="B53" s="44"/>
      <c r="C53" s="51">
        <f ca="1">SUMPRODUCT($H53:$AC53,$H$8:$AC$8)</f>
        <v>-7.7713929179509487</v>
      </c>
      <c r="D53" s="54">
        <f ca="1">AVERAGEIF($H$11:$AC$11,1,$H53:$AC53)</f>
        <v>-1.0911007625334568</v>
      </c>
      <c r="E53" s="49"/>
      <c r="F53" s="50"/>
      <c r="G53" s="50"/>
      <c r="H53" s="50">
        <f ca="1">H52+H51</f>
        <v>0</v>
      </c>
      <c r="I53" s="50">
        <f t="shared" ref="I53:Z53" ca="1" si="61">I52+I51</f>
        <v>0</v>
      </c>
      <c r="J53" s="50">
        <f t="shared" ca="1" si="61"/>
        <v>0</v>
      </c>
      <c r="K53" s="50">
        <f t="shared" ca="1" si="61"/>
        <v>0</v>
      </c>
      <c r="L53" s="50">
        <f t="shared" ca="1" si="61"/>
        <v>0</v>
      </c>
      <c r="M53" s="50">
        <f t="shared" ca="1" si="61"/>
        <v>0</v>
      </c>
      <c r="N53" s="50">
        <f t="shared" ca="1" si="61"/>
        <v>0</v>
      </c>
      <c r="O53" s="50">
        <f t="shared" ca="1" si="61"/>
        <v>-1.1594674506458114</v>
      </c>
      <c r="P53" s="50">
        <f t="shared" ca="1" si="61"/>
        <v>-1.1752362079745944</v>
      </c>
      <c r="Q53" s="50">
        <f t="shared" ca="1" si="61"/>
        <v>-1.1912194204030493</v>
      </c>
      <c r="R53" s="50">
        <f t="shared" ca="1" si="61"/>
        <v>-1.2074200045205306</v>
      </c>
      <c r="S53" s="50">
        <f t="shared" ca="1" si="61"/>
        <v>-1.2238409165820099</v>
      </c>
      <c r="T53" s="50">
        <f t="shared" ca="1" si="61"/>
        <v>-1.2404851530475254</v>
      </c>
      <c r="U53" s="50">
        <f t="shared" ca="1" si="61"/>
        <v>-1.2573557511289715</v>
      </c>
      <c r="V53" s="50">
        <f t="shared" ca="1" si="61"/>
        <v>-1.2744557893443256</v>
      </c>
      <c r="W53" s="50">
        <f t="shared" ca="1" si="61"/>
        <v>-1.2917883880794085</v>
      </c>
      <c r="X53" s="50">
        <f t="shared" ca="1" si="61"/>
        <v>-1.3093567101572887</v>
      </c>
      <c r="Y53" s="50">
        <f t="shared" ca="1" si="61"/>
        <v>-1.327163961415428</v>
      </c>
      <c r="Z53" s="50">
        <f t="shared" ca="1" si="61"/>
        <v>-1.3452133912906779</v>
      </c>
      <c r="AA53" s="50">
        <f t="shared" ref="AA53:AB53" ca="1" si="62">AA52+AA51</f>
        <v>-1.3635082934122313</v>
      </c>
      <c r="AB53" s="50">
        <f t="shared" ca="1" si="62"/>
        <v>0</v>
      </c>
      <c r="AC53" s="50">
        <f t="shared" ref="AC53" ca="1" si="63">AC52+AC51</f>
        <v>0</v>
      </c>
    </row>
    <row r="54" spans="1:29" s="21" customFormat="1" x14ac:dyDescent="0.25">
      <c r="A54" s="21" t="s">
        <v>52</v>
      </c>
      <c r="B54" s="44"/>
      <c r="D54" s="51">
        <f ca="1">SUMPRODUCT($H54:$AC54,$H$8:$AC$8)</f>
        <v>15.296300314084958</v>
      </c>
      <c r="E54" s="51"/>
      <c r="F54" s="50"/>
      <c r="G54" s="50"/>
      <c r="H54" s="50">
        <f ca="1">H50+H53</f>
        <v>0</v>
      </c>
      <c r="I54" s="50">
        <f t="shared" ref="I54:Z54" ca="1" si="64">I50+I53</f>
        <v>0</v>
      </c>
      <c r="J54" s="50">
        <f t="shared" ca="1" si="64"/>
        <v>0</v>
      </c>
      <c r="K54" s="50">
        <f t="shared" ca="1" si="64"/>
        <v>0</v>
      </c>
      <c r="L54" s="50">
        <f t="shared" ca="1" si="64"/>
        <v>0</v>
      </c>
      <c r="M54" s="50">
        <f t="shared" ca="1" si="64"/>
        <v>0</v>
      </c>
      <c r="N54" s="50">
        <f t="shared" ca="1" si="64"/>
        <v>0</v>
      </c>
      <c r="O54" s="50">
        <f t="shared" ca="1" si="64"/>
        <v>29.759664566575825</v>
      </c>
      <c r="P54" s="50">
        <f t="shared" ca="1" si="64"/>
        <v>-0.75473601254037925</v>
      </c>
      <c r="Q54" s="50">
        <f t="shared" ca="1" si="64"/>
        <v>-0.76500042231092724</v>
      </c>
      <c r="R54" s="50">
        <f t="shared" ca="1" si="64"/>
        <v>-0.77540442805435994</v>
      </c>
      <c r="S54" s="50">
        <f t="shared" ca="1" si="64"/>
        <v>-0.7859499282758915</v>
      </c>
      <c r="T54" s="50">
        <f t="shared" ca="1" si="64"/>
        <v>-0.79663884730044554</v>
      </c>
      <c r="U54" s="50">
        <f t="shared" ca="1" si="64"/>
        <v>-0.80747313562374012</v>
      </c>
      <c r="V54" s="50">
        <f t="shared" ca="1" si="64"/>
        <v>-0.81845477026821789</v>
      </c>
      <c r="W54" s="50">
        <f t="shared" ca="1" si="64"/>
        <v>-0.82958575514385791</v>
      </c>
      <c r="X54" s="50">
        <f t="shared" ca="1" si="64"/>
        <v>-0.84086812141382561</v>
      </c>
      <c r="Y54" s="50">
        <f t="shared" ca="1" si="64"/>
        <v>-0.85230392786504705</v>
      </c>
      <c r="Z54" s="50">
        <f t="shared" ca="1" si="64"/>
        <v>-0.86389526128401184</v>
      </c>
      <c r="AA54" s="50">
        <f t="shared" ref="AA54:AB54" ca="1" si="65">AA50+AA53</f>
        <v>-0.87564423683747816</v>
      </c>
      <c r="AB54" s="50">
        <f t="shared" ca="1" si="65"/>
        <v>0</v>
      </c>
      <c r="AC54" s="50">
        <f t="shared" ref="AC54" ca="1" si="66">AC50+AC53</f>
        <v>0</v>
      </c>
    </row>
    <row r="55" spans="1:29" s="21" customFormat="1" x14ac:dyDescent="0.25">
      <c r="B55" s="44"/>
      <c r="C55" s="51"/>
      <c r="D55" s="51"/>
      <c r="E55" s="51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</row>
    <row r="56" spans="1:29" s="21" customFormat="1" x14ac:dyDescent="0.25">
      <c r="A56" s="12" t="s">
        <v>116</v>
      </c>
      <c r="B56" s="44"/>
    </row>
    <row r="57" spans="1:29" s="21" customFormat="1" x14ac:dyDescent="0.25">
      <c r="A57" s="70" t="s">
        <v>133</v>
      </c>
      <c r="B57" s="44"/>
    </row>
    <row r="58" spans="1:29" s="21" customFormat="1" x14ac:dyDescent="0.25">
      <c r="A58" s="76" t="s">
        <v>147</v>
      </c>
      <c r="B58" s="44" t="s">
        <v>0</v>
      </c>
      <c r="D58" s="77">
        <f ca="1">OFFSET(Assumptions!$C$40,0,MATCH($A$4,scenarios,0)-1)</f>
        <v>50</v>
      </c>
    </row>
    <row r="59" spans="1:29" s="21" customFormat="1" x14ac:dyDescent="0.25">
      <c r="A59" s="76" t="s">
        <v>177</v>
      </c>
      <c r="B59" s="44" t="s">
        <v>70</v>
      </c>
      <c r="D59" s="77">
        <f ca="1">OFFSET(Assumptions!$C$41,0,MATCH($A$4,scenarios,0)-1)</f>
        <v>1</v>
      </c>
    </row>
    <row r="60" spans="1:29" s="21" customFormat="1" x14ac:dyDescent="0.25">
      <c r="A60" s="12"/>
      <c r="B60" s="44"/>
    </row>
    <row r="61" spans="1:29" s="21" customFormat="1" x14ac:dyDescent="0.25">
      <c r="A61" s="21" t="s">
        <v>22</v>
      </c>
      <c r="B61" s="44"/>
      <c r="C61" s="51">
        <f ca="1">SUMPRODUCT($H61:$AC61,$H$8:$AC$8)</f>
        <v>7.6930108789795106</v>
      </c>
      <c r="E61" s="51"/>
      <c r="H61" s="50">
        <f ca="1">H$11*$D$59</f>
        <v>0</v>
      </c>
      <c r="I61" s="50">
        <f t="shared" ref="I61:AC61" ca="1" si="67">I$11*$D$59</f>
        <v>0</v>
      </c>
      <c r="J61" s="50">
        <f t="shared" ca="1" si="67"/>
        <v>0</v>
      </c>
      <c r="K61" s="50">
        <f t="shared" ca="1" si="67"/>
        <v>0</v>
      </c>
      <c r="L61" s="50">
        <f t="shared" ca="1" si="67"/>
        <v>0</v>
      </c>
      <c r="M61" s="50">
        <f t="shared" ca="1" si="67"/>
        <v>1</v>
      </c>
      <c r="N61" s="50">
        <f t="shared" ca="1" si="67"/>
        <v>1</v>
      </c>
      <c r="O61" s="50">
        <f t="shared" ca="1" si="67"/>
        <v>1</v>
      </c>
      <c r="P61" s="50">
        <f t="shared" ca="1" si="67"/>
        <v>1</v>
      </c>
      <c r="Q61" s="50">
        <f t="shared" ca="1" si="67"/>
        <v>1</v>
      </c>
      <c r="R61" s="50">
        <f t="shared" ca="1" si="67"/>
        <v>1</v>
      </c>
      <c r="S61" s="50">
        <f t="shared" ca="1" si="67"/>
        <v>1</v>
      </c>
      <c r="T61" s="50">
        <f t="shared" ca="1" si="67"/>
        <v>1</v>
      </c>
      <c r="U61" s="50">
        <f t="shared" ca="1" si="67"/>
        <v>1</v>
      </c>
      <c r="V61" s="50">
        <f t="shared" ca="1" si="67"/>
        <v>1</v>
      </c>
      <c r="W61" s="50">
        <f t="shared" ca="1" si="67"/>
        <v>1</v>
      </c>
      <c r="X61" s="50">
        <f t="shared" ca="1" si="67"/>
        <v>1</v>
      </c>
      <c r="Y61" s="50">
        <f t="shared" ca="1" si="67"/>
        <v>1</v>
      </c>
      <c r="Z61" s="50">
        <f t="shared" ca="1" si="67"/>
        <v>1</v>
      </c>
      <c r="AA61" s="50">
        <f t="shared" ca="1" si="67"/>
        <v>1</v>
      </c>
      <c r="AB61" s="50">
        <f t="shared" ca="1" si="67"/>
        <v>0</v>
      </c>
      <c r="AC61" s="50">
        <f t="shared" ca="1" si="67"/>
        <v>0</v>
      </c>
    </row>
    <row r="62" spans="1:29" s="21" customFormat="1" x14ac:dyDescent="0.25">
      <c r="B62" s="44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</row>
    <row r="63" spans="1:29" s="21" customFormat="1" x14ac:dyDescent="0.25">
      <c r="A63" s="38" t="s">
        <v>90</v>
      </c>
      <c r="B63" s="44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</row>
    <row r="64" spans="1:29" s="21" customFormat="1" x14ac:dyDescent="0.25">
      <c r="A64" s="23" t="s">
        <v>133</v>
      </c>
      <c r="B64" s="44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</row>
    <row r="65" spans="1:29" s="21" customFormat="1" x14ac:dyDescent="0.25">
      <c r="A65" s="76" t="s">
        <v>59</v>
      </c>
      <c r="B65" s="44" t="s">
        <v>70</v>
      </c>
      <c r="D65" s="188">
        <f ca="1">OFFSET(Assumptions!$C$44,0,MATCH($A$4,scenarios,0)-1)</f>
        <v>-10.8355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</row>
    <row r="66" spans="1:29" s="21" customFormat="1" x14ac:dyDescent="0.25">
      <c r="A66" s="76" t="s">
        <v>181</v>
      </c>
      <c r="B66" s="44" t="s">
        <v>70</v>
      </c>
      <c r="D66" s="188">
        <f ca="1">OFFSET(Assumptions!$C$45,0,MATCH($A$4,scenarios,0)-1)</f>
        <v>-0.60949999999999993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</row>
    <row r="67" spans="1:29" s="21" customFormat="1" x14ac:dyDescent="0.25">
      <c r="A67" s="76" t="s">
        <v>61</v>
      </c>
      <c r="B67" s="44" t="s">
        <v>70</v>
      </c>
      <c r="D67" s="77">
        <f ca="1">OFFSET(Assumptions!$C$46,0,MATCH($A$4,scenarios,0)-1)</f>
        <v>0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</row>
    <row r="68" spans="1:29" s="21" customFormat="1" x14ac:dyDescent="0.25">
      <c r="A68" s="76" t="s">
        <v>60</v>
      </c>
      <c r="B68" s="44" t="s">
        <v>70</v>
      </c>
      <c r="D68" s="77">
        <f ca="1">OFFSET(Assumptions!$C$47,0,MATCH($A$4,scenarios,0)-1)</f>
        <v>0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</row>
    <row r="69" spans="1:29" s="21" customFormat="1" x14ac:dyDescent="0.25">
      <c r="A69" s="21" t="s">
        <v>105</v>
      </c>
      <c r="B69" s="44"/>
      <c r="C69" s="51">
        <f ca="1">SUMPRODUCT($H69:$AC69,$H$8:$AC$8)</f>
        <v>-10.186009255962976</v>
      </c>
      <c r="D69" s="51"/>
      <c r="E69" s="51"/>
      <c r="H69" s="50">
        <f ca="1">IF(H$13,SUM($D$65:$D$68),0)</f>
        <v>0</v>
      </c>
      <c r="I69" s="50">
        <f t="shared" ref="I69:AC69" ca="1" si="68">IF(I$13,SUM($D$65:$D$68),0)</f>
        <v>0</v>
      </c>
      <c r="J69" s="50">
        <f t="shared" ca="1" si="68"/>
        <v>-11.445</v>
      </c>
      <c r="K69" s="50">
        <f t="shared" ca="1" si="68"/>
        <v>0</v>
      </c>
      <c r="L69" s="50">
        <f t="shared" ca="1" si="68"/>
        <v>0</v>
      </c>
      <c r="M69" s="50">
        <f t="shared" ca="1" si="68"/>
        <v>0</v>
      </c>
      <c r="N69" s="50">
        <f t="shared" ca="1" si="68"/>
        <v>0</v>
      </c>
      <c r="O69" s="50">
        <f t="shared" ca="1" si="68"/>
        <v>0</v>
      </c>
      <c r="P69" s="50">
        <f t="shared" ca="1" si="68"/>
        <v>0</v>
      </c>
      <c r="Q69" s="50">
        <f t="shared" ca="1" si="68"/>
        <v>0</v>
      </c>
      <c r="R69" s="50">
        <f t="shared" ca="1" si="68"/>
        <v>0</v>
      </c>
      <c r="S69" s="50">
        <f t="shared" ca="1" si="68"/>
        <v>0</v>
      </c>
      <c r="T69" s="50">
        <f t="shared" ca="1" si="68"/>
        <v>0</v>
      </c>
      <c r="U69" s="50">
        <f t="shared" ca="1" si="68"/>
        <v>0</v>
      </c>
      <c r="V69" s="50">
        <f t="shared" ca="1" si="68"/>
        <v>0</v>
      </c>
      <c r="W69" s="50">
        <f t="shared" ca="1" si="68"/>
        <v>0</v>
      </c>
      <c r="X69" s="50">
        <f t="shared" ca="1" si="68"/>
        <v>0</v>
      </c>
      <c r="Y69" s="50">
        <f t="shared" ca="1" si="68"/>
        <v>0</v>
      </c>
      <c r="Z69" s="50">
        <f t="shared" ca="1" si="68"/>
        <v>0</v>
      </c>
      <c r="AA69" s="50">
        <f t="shared" ca="1" si="68"/>
        <v>0</v>
      </c>
      <c r="AB69" s="50">
        <f t="shared" ca="1" si="68"/>
        <v>0</v>
      </c>
      <c r="AC69" s="50">
        <f t="shared" ca="1" si="68"/>
        <v>0</v>
      </c>
    </row>
    <row r="70" spans="1:29" s="21" customFormat="1" x14ac:dyDescent="0.25">
      <c r="B70" s="44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</row>
    <row r="71" spans="1:29" s="21" customFormat="1" x14ac:dyDescent="0.25">
      <c r="A71" s="38" t="s">
        <v>88</v>
      </c>
      <c r="B71" s="44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</row>
    <row r="72" spans="1:29" s="21" customFormat="1" x14ac:dyDescent="0.25">
      <c r="A72" s="23" t="s">
        <v>133</v>
      </c>
      <c r="B72" s="44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1:29" s="21" customFormat="1" x14ac:dyDescent="0.25">
      <c r="A73" s="76" t="s">
        <v>138</v>
      </c>
      <c r="B73" s="44" t="s">
        <v>69</v>
      </c>
      <c r="D73" s="188">
        <f ca="1">OFFSET(Assumptions!$C$51,0,MATCH($A$4,scenarios,0)-1)</f>
        <v>1.0457681921986959E-2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29" s="21" customFormat="1" x14ac:dyDescent="0.25">
      <c r="A74" s="76" t="s">
        <v>139</v>
      </c>
      <c r="B74" s="44" t="s">
        <v>69</v>
      </c>
      <c r="D74" s="188">
        <f ca="1">OFFSET(Assumptions!$C$52,0,MATCH($A$4,scenarios,0)-1)</f>
        <v>2.510848000477061E-2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s="21" customFormat="1" x14ac:dyDescent="0.25">
      <c r="A75" s="76" t="s">
        <v>140</v>
      </c>
      <c r="B75" s="44" t="s">
        <v>69</v>
      </c>
      <c r="D75" s="188">
        <f ca="1">OFFSET(Assumptions!$C$53,0,MATCH($A$4,scenarios,0)-1)</f>
        <v>0.43481610248261499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s="21" customFormat="1" x14ac:dyDescent="0.25">
      <c r="A76" s="76" t="s">
        <v>141</v>
      </c>
      <c r="B76" s="44" t="s">
        <v>69</v>
      </c>
      <c r="D76" s="77">
        <f ca="1">OFFSET(Assumptions!$C$54,0,MATCH($A$4,scenarios,0)-1)</f>
        <v>0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</row>
    <row r="77" spans="1:29" s="21" customFormat="1" x14ac:dyDescent="0.25">
      <c r="A77" s="76" t="s">
        <v>85</v>
      </c>
      <c r="B77" s="44" t="s">
        <v>69</v>
      </c>
      <c r="D77" s="77">
        <f ca="1">OFFSET(Assumptions!$C$55,0,MATCH($A$4,scenarios,0)-1)</f>
        <v>-0.15000000000000002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</row>
    <row r="78" spans="1:29" s="21" customFormat="1" x14ac:dyDescent="0.25">
      <c r="A78" s="76" t="s">
        <v>91</v>
      </c>
      <c r="B78" s="44" t="s">
        <v>69</v>
      </c>
      <c r="D78" s="77">
        <f ca="1">OFFSET(Assumptions!$C$56,0,MATCH($A$4,scenarios,0)-1)</f>
        <v>-0.05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</row>
    <row r="79" spans="1:29" s="21" customFormat="1" x14ac:dyDescent="0.25">
      <c r="A79" s="76" t="s">
        <v>82</v>
      </c>
      <c r="B79" s="44" t="s">
        <v>70</v>
      </c>
      <c r="D79" s="77">
        <f ca="1">OFFSET(Assumptions!$C$57,0,MATCH($A$4,scenarios,0)-1)</f>
        <v>-0.16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</row>
    <row r="80" spans="1:29" s="21" customFormat="1" x14ac:dyDescent="0.25">
      <c r="A80" s="38"/>
      <c r="B80" s="44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</row>
    <row r="81" spans="1:29" s="21" customFormat="1" x14ac:dyDescent="0.25">
      <c r="A81" s="21" t="s">
        <v>108</v>
      </c>
      <c r="B81" s="44"/>
      <c r="D81" s="51">
        <f ca="1">SUMPRODUCT($H81:$AC81,$H$8:$AC$8)</f>
        <v>-0.12673498611808326</v>
      </c>
      <c r="E81" s="51"/>
      <c r="H81" s="50">
        <f ca="1">IF(H$14,$D$79,0)</f>
        <v>0</v>
      </c>
      <c r="I81" s="50">
        <f t="shared" ref="I81:AC81" ca="1" si="69">IF(I$14,$D$79,0)</f>
        <v>0</v>
      </c>
      <c r="J81" s="50">
        <f t="shared" ca="1" si="69"/>
        <v>0</v>
      </c>
      <c r="K81" s="50">
        <f t="shared" ca="1" si="69"/>
        <v>0</v>
      </c>
      <c r="L81" s="50">
        <f t="shared" ca="1" si="69"/>
        <v>-0.16</v>
      </c>
      <c r="M81" s="50">
        <f t="shared" ca="1" si="69"/>
        <v>0</v>
      </c>
      <c r="N81" s="50">
        <f t="shared" ca="1" si="69"/>
        <v>0</v>
      </c>
      <c r="O81" s="50">
        <f t="shared" ca="1" si="69"/>
        <v>0</v>
      </c>
      <c r="P81" s="50">
        <f t="shared" ca="1" si="69"/>
        <v>0</v>
      </c>
      <c r="Q81" s="50">
        <f t="shared" ca="1" si="69"/>
        <v>0</v>
      </c>
      <c r="R81" s="50">
        <f t="shared" ca="1" si="69"/>
        <v>0</v>
      </c>
      <c r="S81" s="50">
        <f t="shared" ca="1" si="69"/>
        <v>0</v>
      </c>
      <c r="T81" s="50">
        <f t="shared" ca="1" si="69"/>
        <v>0</v>
      </c>
      <c r="U81" s="50">
        <f t="shared" ca="1" si="69"/>
        <v>0</v>
      </c>
      <c r="V81" s="50">
        <f t="shared" ca="1" si="69"/>
        <v>0</v>
      </c>
      <c r="W81" s="50">
        <f t="shared" ca="1" si="69"/>
        <v>0</v>
      </c>
      <c r="X81" s="50">
        <f t="shared" ca="1" si="69"/>
        <v>0</v>
      </c>
      <c r="Y81" s="50">
        <f t="shared" ca="1" si="69"/>
        <v>0</v>
      </c>
      <c r="Z81" s="50">
        <f t="shared" ca="1" si="69"/>
        <v>0</v>
      </c>
      <c r="AA81" s="50">
        <f t="shared" ca="1" si="69"/>
        <v>0</v>
      </c>
      <c r="AB81" s="50">
        <f t="shared" ca="1" si="69"/>
        <v>0</v>
      </c>
      <c r="AC81" s="50">
        <f t="shared" ca="1" si="69"/>
        <v>0</v>
      </c>
    </row>
    <row r="82" spans="1:29" s="21" customFormat="1" x14ac:dyDescent="0.25">
      <c r="A82" s="21" t="s">
        <v>142</v>
      </c>
      <c r="B82" s="44"/>
      <c r="D82" s="51">
        <f ca="1">SUMPRODUCT($H82:$AC82,$H$8:$AC$8)</f>
        <v>2.0800537015844176</v>
      </c>
      <c r="E82" s="51"/>
      <c r="H82" s="50">
        <f ca="1">IF(H$11,SUM($D$73:$D$78),0)</f>
        <v>0</v>
      </c>
      <c r="I82" s="50">
        <f t="shared" ref="I82:AC82" ca="1" si="70">IF(I$11,SUM($D$73:$D$78),0)</f>
        <v>0</v>
      </c>
      <c r="J82" s="50">
        <f t="shared" ca="1" si="70"/>
        <v>0</v>
      </c>
      <c r="K82" s="50">
        <f t="shared" ca="1" si="70"/>
        <v>0</v>
      </c>
      <c r="L82" s="50">
        <f t="shared" ca="1" si="70"/>
        <v>0</v>
      </c>
      <c r="M82" s="50">
        <f t="shared" ca="1" si="70"/>
        <v>0.27038226440937257</v>
      </c>
      <c r="N82" s="50">
        <f t="shared" ca="1" si="70"/>
        <v>0.27038226440937257</v>
      </c>
      <c r="O82" s="50">
        <f t="shared" ca="1" si="70"/>
        <v>0.27038226440937257</v>
      </c>
      <c r="P82" s="50">
        <f t="shared" ca="1" si="70"/>
        <v>0.27038226440937257</v>
      </c>
      <c r="Q82" s="50">
        <f t="shared" ca="1" si="70"/>
        <v>0.27038226440937257</v>
      </c>
      <c r="R82" s="50">
        <f t="shared" ca="1" si="70"/>
        <v>0.27038226440937257</v>
      </c>
      <c r="S82" s="50">
        <f t="shared" ca="1" si="70"/>
        <v>0.27038226440937257</v>
      </c>
      <c r="T82" s="50">
        <f t="shared" ca="1" si="70"/>
        <v>0.27038226440937257</v>
      </c>
      <c r="U82" s="50">
        <f t="shared" ca="1" si="70"/>
        <v>0.27038226440937257</v>
      </c>
      <c r="V82" s="50">
        <f t="shared" ca="1" si="70"/>
        <v>0.27038226440937257</v>
      </c>
      <c r="W82" s="50">
        <f t="shared" ca="1" si="70"/>
        <v>0.27038226440937257</v>
      </c>
      <c r="X82" s="50">
        <f t="shared" ca="1" si="70"/>
        <v>0.27038226440937257</v>
      </c>
      <c r="Y82" s="50">
        <f t="shared" ca="1" si="70"/>
        <v>0.27038226440937257</v>
      </c>
      <c r="Z82" s="50">
        <f t="shared" ca="1" si="70"/>
        <v>0.27038226440937257</v>
      </c>
      <c r="AA82" s="50">
        <f t="shared" ca="1" si="70"/>
        <v>0.27038226440937257</v>
      </c>
      <c r="AB82" s="50">
        <f t="shared" ca="1" si="70"/>
        <v>0</v>
      </c>
      <c r="AC82" s="50">
        <f t="shared" ca="1" si="70"/>
        <v>0</v>
      </c>
    </row>
    <row r="83" spans="1:29" s="21" customFormat="1" x14ac:dyDescent="0.25">
      <c r="A83" s="21" t="s">
        <v>94</v>
      </c>
      <c r="B83" s="44"/>
      <c r="C83" s="51">
        <f ca="1">SUMPRODUCT($H83:$AC83,$H$8:$AC$8)</f>
        <v>1.9533187154663347</v>
      </c>
      <c r="E83" s="56"/>
      <c r="H83" s="50">
        <f ca="1">H82+H81</f>
        <v>0</v>
      </c>
      <c r="I83" s="50">
        <f t="shared" ref="I83:Z83" ca="1" si="71">I82+I81</f>
        <v>0</v>
      </c>
      <c r="J83" s="50">
        <f t="shared" ca="1" si="71"/>
        <v>0</v>
      </c>
      <c r="K83" s="50">
        <f t="shared" ca="1" si="71"/>
        <v>0</v>
      </c>
      <c r="L83" s="50">
        <f t="shared" ca="1" si="71"/>
        <v>-0.16</v>
      </c>
      <c r="M83" s="50">
        <f t="shared" ca="1" si="71"/>
        <v>0.27038226440937257</v>
      </c>
      <c r="N83" s="50">
        <f t="shared" ca="1" si="71"/>
        <v>0.27038226440937257</v>
      </c>
      <c r="O83" s="50">
        <f t="shared" ca="1" si="71"/>
        <v>0.27038226440937257</v>
      </c>
      <c r="P83" s="50">
        <f t="shared" ca="1" si="71"/>
        <v>0.27038226440937257</v>
      </c>
      <c r="Q83" s="50">
        <f t="shared" ca="1" si="71"/>
        <v>0.27038226440937257</v>
      </c>
      <c r="R83" s="50">
        <f t="shared" ca="1" si="71"/>
        <v>0.27038226440937257</v>
      </c>
      <c r="S83" s="50">
        <f t="shared" ca="1" si="71"/>
        <v>0.27038226440937257</v>
      </c>
      <c r="T83" s="50">
        <f t="shared" ca="1" si="71"/>
        <v>0.27038226440937257</v>
      </c>
      <c r="U83" s="50">
        <f t="shared" ca="1" si="71"/>
        <v>0.27038226440937257</v>
      </c>
      <c r="V83" s="50">
        <f t="shared" ca="1" si="71"/>
        <v>0.27038226440937257</v>
      </c>
      <c r="W83" s="50">
        <f t="shared" ca="1" si="71"/>
        <v>0.27038226440937257</v>
      </c>
      <c r="X83" s="50">
        <f t="shared" ca="1" si="71"/>
        <v>0.27038226440937257</v>
      </c>
      <c r="Y83" s="50">
        <f t="shared" ca="1" si="71"/>
        <v>0.27038226440937257</v>
      </c>
      <c r="Z83" s="50">
        <f t="shared" ca="1" si="71"/>
        <v>0.27038226440937257</v>
      </c>
      <c r="AA83" s="50">
        <f t="shared" ref="AA83:AB83" ca="1" si="72">AA82+AA81</f>
        <v>0.27038226440937257</v>
      </c>
      <c r="AB83" s="50">
        <f t="shared" ca="1" si="72"/>
        <v>0</v>
      </c>
      <c r="AC83" s="50">
        <f t="shared" ref="AC83" ca="1" si="73">AC82+AC81</f>
        <v>0</v>
      </c>
    </row>
    <row r="84" spans="1:29" s="21" customFormat="1" x14ac:dyDescent="0.25">
      <c r="B84" s="44"/>
      <c r="C84" s="51"/>
      <c r="D84" s="51"/>
      <c r="E84" s="51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</row>
    <row r="85" spans="1:29" s="21" customFormat="1" x14ac:dyDescent="0.25">
      <c r="A85" s="38" t="s">
        <v>89</v>
      </c>
      <c r="B85" s="44"/>
      <c r="C85" s="51"/>
      <c r="D85" s="51"/>
      <c r="E85" s="51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</row>
    <row r="86" spans="1:29" s="21" customFormat="1" x14ac:dyDescent="0.25">
      <c r="A86" s="23" t="s">
        <v>133</v>
      </c>
      <c r="B86" s="44"/>
      <c r="C86" s="51"/>
      <c r="D86" s="189"/>
      <c r="E86" s="51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</row>
    <row r="87" spans="1:29" s="21" customFormat="1" x14ac:dyDescent="0.25">
      <c r="A87" s="76" t="s">
        <v>84</v>
      </c>
      <c r="B87" s="44"/>
      <c r="C87" s="51"/>
      <c r="D87" s="188">
        <f ca="1">OFFSET(Assumptions!$C$61,0,MATCH($A$4,scenarios,0)-1)</f>
        <v>-0.38500000000000001</v>
      </c>
      <c r="E87" s="51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</row>
    <row r="88" spans="1:29" s="21" customFormat="1" x14ac:dyDescent="0.25">
      <c r="A88" s="76" t="s">
        <v>80</v>
      </c>
      <c r="B88" s="44"/>
      <c r="C88" s="51"/>
      <c r="D88" s="188">
        <f ca="1">OFFSET(Assumptions!$C$62,0,MATCH($A$4,scenarios,0)-1)</f>
        <v>-0.55700000000000005</v>
      </c>
      <c r="E88" s="51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</row>
    <row r="89" spans="1:29" s="21" customFormat="1" x14ac:dyDescent="0.25">
      <c r="A89" s="76" t="s">
        <v>83</v>
      </c>
      <c r="B89" s="44"/>
      <c r="C89" s="51"/>
      <c r="D89" s="188">
        <f ca="1">OFFSET(Assumptions!$C$63,0,MATCH($A$4,scenarios,0)-1)</f>
        <v>-0.67</v>
      </c>
      <c r="E89" s="51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</row>
    <row r="90" spans="1:29" s="21" customFormat="1" x14ac:dyDescent="0.25">
      <c r="A90" s="76"/>
      <c r="B90" s="44"/>
      <c r="C90" s="51"/>
      <c r="D90" s="188"/>
      <c r="E90" s="51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</row>
    <row r="91" spans="1:29" s="21" customFormat="1" x14ac:dyDescent="0.25">
      <c r="A91" s="21" t="s">
        <v>109</v>
      </c>
      <c r="B91" s="44"/>
      <c r="C91" s="51">
        <f ca="1">SUMPRODUCT($H91:$AC91,$H$8:$AC$8)</f>
        <v>-1.4346742613029546</v>
      </c>
      <c r="D91" s="51"/>
      <c r="E91" s="51"/>
      <c r="H91" s="50">
        <f ca="1">IF(H$15,SUM($D$87:$D$89),0)</f>
        <v>0</v>
      </c>
      <c r="I91" s="50">
        <f t="shared" ref="I91:AC91" ca="1" si="74">IF(I$15,SUM($D$87:$D$89),0)</f>
        <v>0</v>
      </c>
      <c r="J91" s="50">
        <f t="shared" ca="1" si="74"/>
        <v>-1.6120000000000001</v>
      </c>
      <c r="K91" s="50">
        <f t="shared" ca="1" si="74"/>
        <v>0</v>
      </c>
      <c r="L91" s="50">
        <f t="shared" ca="1" si="74"/>
        <v>0</v>
      </c>
      <c r="M91" s="50">
        <f t="shared" ca="1" si="74"/>
        <v>0</v>
      </c>
      <c r="N91" s="50">
        <f t="shared" ca="1" si="74"/>
        <v>0</v>
      </c>
      <c r="O91" s="50">
        <f t="shared" ca="1" si="74"/>
        <v>0</v>
      </c>
      <c r="P91" s="50">
        <f t="shared" ca="1" si="74"/>
        <v>0</v>
      </c>
      <c r="Q91" s="50">
        <f t="shared" ca="1" si="74"/>
        <v>0</v>
      </c>
      <c r="R91" s="50">
        <f t="shared" ca="1" si="74"/>
        <v>0</v>
      </c>
      <c r="S91" s="50">
        <f t="shared" ca="1" si="74"/>
        <v>0</v>
      </c>
      <c r="T91" s="50">
        <f t="shared" ca="1" si="74"/>
        <v>0</v>
      </c>
      <c r="U91" s="50">
        <f t="shared" ca="1" si="74"/>
        <v>0</v>
      </c>
      <c r="V91" s="50">
        <f t="shared" ca="1" si="74"/>
        <v>0</v>
      </c>
      <c r="W91" s="50">
        <f t="shared" ca="1" si="74"/>
        <v>0</v>
      </c>
      <c r="X91" s="50">
        <f t="shared" ca="1" si="74"/>
        <v>0</v>
      </c>
      <c r="Y91" s="50">
        <f t="shared" ca="1" si="74"/>
        <v>0</v>
      </c>
      <c r="Z91" s="50">
        <f t="shared" ca="1" si="74"/>
        <v>0</v>
      </c>
      <c r="AA91" s="50">
        <f t="shared" ca="1" si="74"/>
        <v>0</v>
      </c>
      <c r="AB91" s="50">
        <f t="shared" ca="1" si="74"/>
        <v>0</v>
      </c>
      <c r="AC91" s="50">
        <f t="shared" ca="1" si="74"/>
        <v>0</v>
      </c>
    </row>
    <row r="92" spans="1:29" s="21" customFormat="1" x14ac:dyDescent="0.25">
      <c r="B92" s="44"/>
      <c r="C92" s="51"/>
      <c r="D92" s="51"/>
      <c r="E92" s="51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</row>
    <row r="93" spans="1:29" s="21" customFormat="1" x14ac:dyDescent="0.25">
      <c r="A93" s="38" t="s">
        <v>92</v>
      </c>
      <c r="B93" s="44"/>
      <c r="C93" s="51"/>
      <c r="D93" s="51"/>
      <c r="E93" s="51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</row>
    <row r="94" spans="1:29" s="21" customFormat="1" x14ac:dyDescent="0.25">
      <c r="A94" s="23" t="s">
        <v>133</v>
      </c>
      <c r="B94" s="44"/>
      <c r="C94" s="51"/>
      <c r="D94" s="51"/>
      <c r="E94" s="51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</row>
    <row r="95" spans="1:29" s="21" customFormat="1" x14ac:dyDescent="0.25">
      <c r="A95" s="76" t="s">
        <v>18</v>
      </c>
      <c r="B95" s="44"/>
      <c r="C95" s="51"/>
      <c r="D95" s="77">
        <f ca="1">OFFSET(Assumptions!$C$67,0,MATCH($A$4,scenarios,0)-1)</f>
        <v>-2.73</v>
      </c>
      <c r="E95" s="51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</row>
    <row r="96" spans="1:29" s="21" customFormat="1" x14ac:dyDescent="0.25">
      <c r="A96" s="76"/>
      <c r="B96" s="44"/>
      <c r="C96" s="51"/>
      <c r="D96" s="77"/>
      <c r="E96" s="51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</row>
    <row r="97" spans="1:29" s="21" customFormat="1" x14ac:dyDescent="0.25">
      <c r="A97" s="21" t="s">
        <v>109</v>
      </c>
      <c r="B97" s="44"/>
      <c r="C97" s="51">
        <f ca="1">SUMPRODUCT($H97:$AC97,$H$8:$AC$8)</f>
        <v>-2.4296902812388748</v>
      </c>
      <c r="D97" s="51"/>
      <c r="E97" s="51"/>
      <c r="H97" s="50">
        <f t="shared" ref="H97:AC97" ca="1" si="75">IF(H$16,$D$95,0)</f>
        <v>0</v>
      </c>
      <c r="I97" s="50">
        <f t="shared" ca="1" si="75"/>
        <v>0</v>
      </c>
      <c r="J97" s="50">
        <f t="shared" ca="1" si="75"/>
        <v>-2.73</v>
      </c>
      <c r="K97" s="50">
        <f t="shared" ca="1" si="75"/>
        <v>0</v>
      </c>
      <c r="L97" s="50">
        <f t="shared" ca="1" si="75"/>
        <v>0</v>
      </c>
      <c r="M97" s="50">
        <f t="shared" ca="1" si="75"/>
        <v>0</v>
      </c>
      <c r="N97" s="50">
        <f t="shared" ca="1" si="75"/>
        <v>0</v>
      </c>
      <c r="O97" s="50">
        <f t="shared" ca="1" si="75"/>
        <v>0</v>
      </c>
      <c r="P97" s="50">
        <f t="shared" ca="1" si="75"/>
        <v>0</v>
      </c>
      <c r="Q97" s="50">
        <f t="shared" ca="1" si="75"/>
        <v>0</v>
      </c>
      <c r="R97" s="50">
        <f t="shared" ca="1" si="75"/>
        <v>0</v>
      </c>
      <c r="S97" s="50">
        <f t="shared" ca="1" si="75"/>
        <v>0</v>
      </c>
      <c r="T97" s="50">
        <f t="shared" ca="1" si="75"/>
        <v>0</v>
      </c>
      <c r="U97" s="50">
        <f t="shared" ca="1" si="75"/>
        <v>0</v>
      </c>
      <c r="V97" s="50">
        <f t="shared" ca="1" si="75"/>
        <v>0</v>
      </c>
      <c r="W97" s="50">
        <f t="shared" ca="1" si="75"/>
        <v>0</v>
      </c>
      <c r="X97" s="50">
        <f t="shared" ca="1" si="75"/>
        <v>0</v>
      </c>
      <c r="Y97" s="50">
        <f t="shared" ca="1" si="75"/>
        <v>0</v>
      </c>
      <c r="Z97" s="50">
        <f t="shared" ca="1" si="75"/>
        <v>0</v>
      </c>
      <c r="AA97" s="50">
        <f t="shared" ca="1" si="75"/>
        <v>0</v>
      </c>
      <c r="AB97" s="50">
        <f t="shared" ca="1" si="75"/>
        <v>0</v>
      </c>
      <c r="AC97" s="50">
        <f t="shared" ca="1" si="75"/>
        <v>0</v>
      </c>
    </row>
    <row r="98" spans="1:29" s="21" customFormat="1" x14ac:dyDescent="0.25">
      <c r="B98" s="44"/>
      <c r="C98" s="51"/>
      <c r="D98" s="51"/>
      <c r="E98" s="51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</row>
    <row r="99" spans="1:29" s="21" customFormat="1" x14ac:dyDescent="0.25">
      <c r="A99" s="21" t="s">
        <v>143</v>
      </c>
      <c r="B99" s="44"/>
      <c r="C99" s="51">
        <f ca="1">SUM(C35:C97)</f>
        <v>50.375776941852074</v>
      </c>
      <c r="D99" s="51"/>
      <c r="E99" s="51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</row>
    <row r="100" spans="1:29" s="21" customFormat="1" x14ac:dyDescent="0.25">
      <c r="B100" s="44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</row>
    <row r="101" spans="1:29" s="21" customFormat="1" x14ac:dyDescent="0.25">
      <c r="A101" s="44"/>
      <c r="B101" s="44"/>
      <c r="C101" s="20"/>
      <c r="D101" s="20"/>
      <c r="E101" s="20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57"/>
      <c r="AB101" s="57"/>
    </row>
    <row r="102" spans="1:29" s="21" customFormat="1" x14ac:dyDescent="0.25">
      <c r="A102" s="10"/>
      <c r="B102" s="44"/>
      <c r="C102" s="10"/>
      <c r="D102" s="10"/>
      <c r="E102" s="10"/>
      <c r="F102" s="45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</row>
    <row r="103" spans="1:29" s="21" customFormat="1" x14ac:dyDescent="0.25">
      <c r="A103" s="10"/>
      <c r="B103" s="44"/>
      <c r="C103" s="10"/>
      <c r="D103" s="10"/>
      <c r="E103" s="10"/>
      <c r="F103" s="45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</row>
    <row r="104" spans="1:29" s="21" customFormat="1" x14ac:dyDescent="0.25">
      <c r="A104" s="10"/>
      <c r="B104" s="44"/>
      <c r="C104" s="10"/>
      <c r="D104" s="10"/>
      <c r="E104" s="10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</row>
    <row r="105" spans="1:29" s="21" customFormat="1" x14ac:dyDescent="0.25">
      <c r="A105" s="20"/>
      <c r="B105" s="44"/>
      <c r="C105" s="20"/>
      <c r="D105" s="20"/>
      <c r="E105" s="20"/>
      <c r="F105" s="20"/>
      <c r="G105" s="45"/>
      <c r="H105" s="45"/>
      <c r="I105" s="45"/>
      <c r="J105" s="45"/>
      <c r="K105" s="45"/>
      <c r="L105" s="45"/>
      <c r="M105" s="45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9" s="21" customFormat="1" x14ac:dyDescent="0.25">
      <c r="A106" s="70"/>
      <c r="B106" s="44"/>
      <c r="C106" s="20"/>
      <c r="D106" s="20"/>
      <c r="E106" s="20"/>
      <c r="F106" s="20"/>
      <c r="G106" s="45"/>
      <c r="H106" s="45"/>
      <c r="I106" s="48"/>
      <c r="J106" s="45"/>
      <c r="K106" s="45"/>
      <c r="L106" s="45"/>
      <c r="M106" s="45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9" s="21" customFormat="1" x14ac:dyDescent="0.25">
      <c r="B107" s="44"/>
      <c r="D107" s="49"/>
      <c r="E107" s="49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</row>
    <row r="108" spans="1:29" s="21" customFormat="1" x14ac:dyDescent="0.25">
      <c r="B108" s="44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</row>
    <row r="109" spans="1:29" s="21" customFormat="1" x14ac:dyDescent="0.25">
      <c r="B109" s="44"/>
      <c r="C109" s="51"/>
      <c r="D109" s="51"/>
      <c r="E109" s="51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</row>
    <row r="110" spans="1:29" s="21" customFormat="1" x14ac:dyDescent="0.25">
      <c r="B110" s="44"/>
      <c r="C110" s="51"/>
      <c r="D110" s="49"/>
      <c r="E110" s="49"/>
      <c r="F110" s="52"/>
      <c r="G110" s="52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2"/>
    </row>
    <row r="111" spans="1:29" s="21" customFormat="1" x14ac:dyDescent="0.25">
      <c r="B111" s="44"/>
      <c r="D111" s="51"/>
      <c r="E111" s="51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</row>
    <row r="112" spans="1:29" s="21" customFormat="1" x14ac:dyDescent="0.25">
      <c r="B112" s="44"/>
      <c r="C112" s="51"/>
      <c r="D112" s="51"/>
      <c r="E112" s="51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</row>
    <row r="113" spans="1:27" s="21" customFormat="1" x14ac:dyDescent="0.25">
      <c r="B113" s="44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7" s="21" customFormat="1" x14ac:dyDescent="0.25">
      <c r="A114" s="70"/>
      <c r="B114" s="44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7" s="21" customFormat="1" x14ac:dyDescent="0.25">
      <c r="B115" s="44"/>
      <c r="D115" s="54"/>
      <c r="E115" s="54"/>
      <c r="F115" s="53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</row>
    <row r="116" spans="1:27" s="21" customFormat="1" x14ac:dyDescent="0.25">
      <c r="B116" s="4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</row>
    <row r="117" spans="1:27" s="21" customFormat="1" x14ac:dyDescent="0.25">
      <c r="B117" s="44"/>
      <c r="C117" s="51"/>
      <c r="D117" s="51"/>
      <c r="E117" s="51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</row>
    <row r="118" spans="1:27" s="21" customFormat="1" x14ac:dyDescent="0.25">
      <c r="B118" s="44"/>
      <c r="C118" s="51"/>
      <c r="D118" s="49"/>
      <c r="E118" s="49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</row>
    <row r="119" spans="1:27" s="21" customFormat="1" x14ac:dyDescent="0.25">
      <c r="B119" s="44"/>
      <c r="D119" s="51"/>
      <c r="E119" s="51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</row>
    <row r="120" spans="1:27" s="21" customFormat="1" x14ac:dyDescent="0.25">
      <c r="B120" s="44"/>
      <c r="C120" s="51"/>
      <c r="D120" s="51"/>
      <c r="E120" s="51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</row>
    <row r="121" spans="1:27" s="21" customFormat="1" x14ac:dyDescent="0.25">
      <c r="A121" s="70"/>
      <c r="B121" s="44"/>
    </row>
    <row r="122" spans="1:27" s="21" customFormat="1" x14ac:dyDescent="0.25">
      <c r="B122" s="44"/>
      <c r="C122" s="51"/>
      <c r="D122" s="51"/>
      <c r="E122" s="51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7" s="21" customFormat="1" x14ac:dyDescent="0.25">
      <c r="B123" s="44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7" s="21" customFormat="1" x14ac:dyDescent="0.25">
      <c r="A124" s="23"/>
      <c r="B124" s="44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7" s="21" customFormat="1" x14ac:dyDescent="0.25">
      <c r="B125" s="44"/>
      <c r="C125" s="51"/>
      <c r="D125" s="51"/>
      <c r="E125" s="51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7" s="21" customFormat="1" x14ac:dyDescent="0.25">
      <c r="B126" s="44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7" s="21" customFormat="1" x14ac:dyDescent="0.25">
      <c r="A127" s="23"/>
      <c r="B127" s="44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7" s="21" customFormat="1" x14ac:dyDescent="0.25">
      <c r="B128" s="44"/>
      <c r="C128" s="51"/>
      <c r="D128" s="51"/>
      <c r="E128" s="51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7" s="21" customFormat="1" x14ac:dyDescent="0.25">
      <c r="B129" s="44"/>
      <c r="C129" s="51"/>
      <c r="D129" s="51"/>
      <c r="E129" s="51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7" s="21" customFormat="1" x14ac:dyDescent="0.25">
      <c r="B130" s="44"/>
      <c r="D130" s="56"/>
      <c r="E130" s="56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7" s="21" customFormat="1" x14ac:dyDescent="0.25">
      <c r="B131" s="44"/>
      <c r="C131" s="51"/>
      <c r="D131" s="51"/>
      <c r="E131" s="51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7" s="21" customFormat="1" x14ac:dyDescent="0.25">
      <c r="A132" s="23"/>
      <c r="B132" s="44"/>
      <c r="C132" s="51"/>
      <c r="D132" s="51"/>
      <c r="E132" s="51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7" s="21" customFormat="1" x14ac:dyDescent="0.25">
      <c r="B133" s="44"/>
      <c r="C133" s="51"/>
      <c r="D133" s="51"/>
      <c r="E133" s="51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7" s="21" customFormat="1" x14ac:dyDescent="0.25">
      <c r="B134" s="44"/>
      <c r="C134" s="51"/>
      <c r="D134" s="51"/>
      <c r="E134" s="51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21" customFormat="1" x14ac:dyDescent="0.25">
      <c r="A135" s="23"/>
      <c r="B135" s="44"/>
      <c r="C135" s="51"/>
      <c r="D135" s="51"/>
      <c r="E135" s="51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7" s="21" customFormat="1" x14ac:dyDescent="0.25">
      <c r="B136" s="44"/>
      <c r="C136" s="51"/>
      <c r="D136" s="51"/>
      <c r="E136" s="51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7" s="21" customFormat="1" x14ac:dyDescent="0.25">
      <c r="B137" s="44"/>
    </row>
    <row r="138" spans="1:27" s="21" customFormat="1" x14ac:dyDescent="0.25">
      <c r="B138" s="44"/>
    </row>
    <row r="139" spans="1:27" s="21" customFormat="1" x14ac:dyDescent="0.25">
      <c r="B139" s="44"/>
    </row>
    <row r="140" spans="1:27" s="21" customFormat="1" x14ac:dyDescent="0.25">
      <c r="A140" s="58"/>
      <c r="B140" s="44"/>
      <c r="C140" s="58"/>
      <c r="D140" s="58"/>
      <c r="E140" s="58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7" x14ac:dyDescent="0.25">
      <c r="A141" s="10"/>
      <c r="C141" s="10"/>
      <c r="D141" s="10"/>
      <c r="E141" s="10"/>
      <c r="F141" s="45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</row>
    <row r="142" spans="1:27" x14ac:dyDescent="0.25">
      <c r="A142" s="10"/>
      <c r="C142" s="10"/>
      <c r="D142" s="10"/>
      <c r="E142" s="10"/>
      <c r="F142" s="45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</row>
    <row r="143" spans="1:27" x14ac:dyDescent="0.25">
      <c r="A143" s="10"/>
      <c r="C143" s="10"/>
      <c r="D143" s="10"/>
      <c r="E143" s="10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</row>
    <row r="144" spans="1:27" x14ac:dyDescent="0.25">
      <c r="G144" s="45"/>
      <c r="H144" s="45"/>
      <c r="I144" s="45"/>
      <c r="J144" s="45"/>
      <c r="K144" s="45"/>
      <c r="L144" s="45"/>
      <c r="M144" s="45"/>
      <c r="AA144" s="47"/>
    </row>
    <row r="145" spans="1:27" s="21" customFormat="1" x14ac:dyDescent="0.25">
      <c r="A145" s="70"/>
      <c r="B145" s="44"/>
      <c r="C145" s="20"/>
      <c r="D145" s="20"/>
      <c r="E145" s="20"/>
      <c r="F145" s="20"/>
      <c r="G145" s="45"/>
      <c r="H145" s="45"/>
      <c r="I145" s="48"/>
      <c r="J145" s="45"/>
      <c r="K145" s="45"/>
      <c r="L145" s="45"/>
      <c r="M145" s="45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7" s="21" customFormat="1" x14ac:dyDescent="0.25">
      <c r="B146" s="44"/>
      <c r="D146" s="49"/>
      <c r="E146" s="49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</row>
    <row r="147" spans="1:27" s="21" customFormat="1" x14ac:dyDescent="0.25">
      <c r="B147" s="44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</row>
    <row r="148" spans="1:27" s="21" customFormat="1" x14ac:dyDescent="0.25">
      <c r="B148" s="44"/>
      <c r="C148" s="51"/>
      <c r="D148" s="51"/>
      <c r="E148" s="51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</row>
    <row r="149" spans="1:27" s="21" customFormat="1" x14ac:dyDescent="0.25">
      <c r="B149" s="44"/>
      <c r="C149" s="51"/>
      <c r="D149" s="49"/>
      <c r="E149" s="49"/>
      <c r="F149" s="52"/>
      <c r="G149" s="52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2"/>
    </row>
    <row r="150" spans="1:27" s="21" customFormat="1" x14ac:dyDescent="0.25">
      <c r="B150" s="44"/>
      <c r="D150" s="51"/>
      <c r="E150" s="51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</row>
    <row r="151" spans="1:27" s="21" customFormat="1" x14ac:dyDescent="0.25">
      <c r="B151" s="44"/>
      <c r="C151" s="51"/>
      <c r="D151" s="51"/>
      <c r="E151" s="51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</row>
    <row r="152" spans="1:27" s="21" customFormat="1" x14ac:dyDescent="0.25">
      <c r="B152" s="44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7" s="21" customFormat="1" x14ac:dyDescent="0.25">
      <c r="A153" s="70"/>
      <c r="B153" s="44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7" s="21" customFormat="1" x14ac:dyDescent="0.25">
      <c r="B154" s="44"/>
      <c r="D154" s="54"/>
      <c r="E154" s="54"/>
      <c r="F154" s="53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</row>
    <row r="155" spans="1:27" s="21" customFormat="1" x14ac:dyDescent="0.25">
      <c r="B155" s="4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</row>
    <row r="156" spans="1:27" s="21" customFormat="1" x14ac:dyDescent="0.25">
      <c r="B156" s="44"/>
      <c r="C156" s="51"/>
      <c r="D156" s="51"/>
      <c r="E156" s="51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</row>
    <row r="157" spans="1:27" s="21" customFormat="1" x14ac:dyDescent="0.25">
      <c r="B157" s="44"/>
      <c r="C157" s="51"/>
      <c r="D157" s="49"/>
      <c r="E157" s="49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</row>
    <row r="158" spans="1:27" s="21" customFormat="1" x14ac:dyDescent="0.25">
      <c r="B158" s="44"/>
      <c r="D158" s="51"/>
      <c r="E158" s="51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</row>
    <row r="159" spans="1:27" s="21" customFormat="1" x14ac:dyDescent="0.25">
      <c r="B159" s="44"/>
      <c r="C159" s="51"/>
      <c r="D159" s="51"/>
      <c r="E159" s="51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</row>
    <row r="160" spans="1:27" x14ac:dyDescent="0.25">
      <c r="A160" s="70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x14ac:dyDescent="0.25">
      <c r="A161" s="21"/>
      <c r="C161" s="51"/>
      <c r="D161" s="51"/>
      <c r="E161" s="51"/>
      <c r="F161" s="21"/>
      <c r="G161" s="21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x14ac:dyDescent="0.25">
      <c r="A162" s="21"/>
      <c r="C162" s="21"/>
      <c r="D162" s="21"/>
      <c r="E162" s="21"/>
      <c r="F162" s="21"/>
      <c r="G162" s="21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x14ac:dyDescent="0.25">
      <c r="A163" s="23"/>
      <c r="C163" s="21"/>
      <c r="D163" s="21"/>
      <c r="E163" s="21"/>
      <c r="F163" s="21"/>
      <c r="G163" s="21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x14ac:dyDescent="0.25">
      <c r="A164" s="21"/>
      <c r="C164" s="51"/>
      <c r="D164" s="51"/>
      <c r="E164" s="51"/>
      <c r="F164" s="21"/>
      <c r="G164" s="21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x14ac:dyDescent="0.25">
      <c r="A165" s="21"/>
      <c r="C165" s="21"/>
      <c r="D165" s="21"/>
      <c r="E165" s="21"/>
      <c r="F165" s="21"/>
      <c r="G165" s="21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x14ac:dyDescent="0.25">
      <c r="A166" s="23"/>
      <c r="C166" s="21"/>
      <c r="D166" s="21"/>
      <c r="E166" s="21"/>
      <c r="F166" s="21"/>
      <c r="G166" s="21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x14ac:dyDescent="0.25">
      <c r="A167" s="21"/>
      <c r="C167" s="51"/>
      <c r="D167" s="51"/>
      <c r="E167" s="51"/>
      <c r="F167" s="21"/>
      <c r="G167" s="21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x14ac:dyDescent="0.25">
      <c r="A168" s="21"/>
      <c r="C168" s="51"/>
      <c r="D168" s="51"/>
      <c r="E168" s="51"/>
      <c r="F168" s="21"/>
      <c r="G168" s="21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x14ac:dyDescent="0.25">
      <c r="A169" s="21"/>
      <c r="D169" s="56"/>
      <c r="E169" s="56"/>
      <c r="F169" s="21"/>
      <c r="G169" s="21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x14ac:dyDescent="0.25">
      <c r="A170" s="21"/>
      <c r="C170" s="51"/>
      <c r="D170" s="51"/>
      <c r="E170" s="51"/>
      <c r="F170" s="21"/>
      <c r="G170" s="21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x14ac:dyDescent="0.25">
      <c r="A171" s="23"/>
      <c r="C171" s="51"/>
      <c r="D171" s="51"/>
      <c r="E171" s="51"/>
      <c r="F171" s="21"/>
      <c r="G171" s="21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x14ac:dyDescent="0.25">
      <c r="A172" s="21"/>
      <c r="C172" s="51"/>
      <c r="D172" s="51"/>
      <c r="E172" s="51"/>
      <c r="F172" s="21"/>
      <c r="G172" s="21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x14ac:dyDescent="0.25">
      <c r="A173" s="21"/>
      <c r="C173" s="51"/>
      <c r="D173" s="51"/>
      <c r="E173" s="51"/>
      <c r="F173" s="21"/>
      <c r="G173" s="21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x14ac:dyDescent="0.25">
      <c r="A174" s="23"/>
      <c r="C174" s="51"/>
      <c r="D174" s="51"/>
      <c r="E174" s="51"/>
      <c r="F174" s="21"/>
      <c r="G174" s="21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x14ac:dyDescent="0.25">
      <c r="A175" s="21"/>
      <c r="C175" s="51"/>
      <c r="D175" s="51"/>
      <c r="E175" s="51"/>
      <c r="F175" s="21"/>
      <c r="G175" s="21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</sheetData>
  <dataValidations count="1">
    <dataValidation type="list" allowBlank="1" showInputMessage="1" showErrorMessage="1" sqref="A4" xr:uid="{00000000-0002-0000-0200-000000000000}">
      <formula1>scenarios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P81"/>
  <sheetViews>
    <sheetView zoomScale="70" zoomScaleNormal="70" workbookViewId="0">
      <selection activeCell="A61" sqref="A61"/>
    </sheetView>
  </sheetViews>
  <sheetFormatPr defaultColWidth="9.140625" defaultRowHeight="14.25" x14ac:dyDescent="0.2"/>
  <cols>
    <col min="1" max="1" width="106.5703125" style="24" customWidth="1"/>
    <col min="2" max="4" width="12" style="24" customWidth="1"/>
    <col min="5" max="5" width="11.5703125" style="24" customWidth="1"/>
    <col min="6" max="6" width="13.28515625" style="24" customWidth="1"/>
    <col min="7" max="8" width="12.7109375" style="24" customWidth="1"/>
    <col min="9" max="9" width="5.28515625" style="24" customWidth="1"/>
    <col min="10" max="10" width="9.140625" style="37" customWidth="1"/>
    <col min="11" max="11" width="36.5703125" style="24" customWidth="1"/>
    <col min="12" max="12" width="9.140625" style="24" customWidth="1"/>
    <col min="13" max="16384" width="9.140625" style="24"/>
  </cols>
  <sheetData>
    <row r="1" spans="1:11" s="37" customFormat="1" ht="15.75" customHeight="1" x14ac:dyDescent="0.2">
      <c r="A1" s="24" t="s">
        <v>76</v>
      </c>
      <c r="B1" s="24"/>
      <c r="C1" s="24"/>
      <c r="D1" s="24"/>
      <c r="E1" s="24"/>
      <c r="F1" s="24"/>
      <c r="G1" s="24"/>
      <c r="H1" s="24"/>
      <c r="I1" s="24"/>
    </row>
    <row r="2" spans="1:11" ht="15.75" customHeight="1" thickBot="1" x14ac:dyDescent="0.25">
      <c r="A2" s="24" t="s">
        <v>95</v>
      </c>
      <c r="C2" s="192">
        <f ca="1">SUM(C13,C48,C51,C54,C57,C40,C30)</f>
        <v>50.375776941852067</v>
      </c>
    </row>
    <row r="3" spans="1:11" ht="15.75" customHeight="1" thickBot="1" x14ac:dyDescent="0.25">
      <c r="A3" s="24" t="s">
        <v>96</v>
      </c>
      <c r="E3" s="118" t="s">
        <v>144</v>
      </c>
      <c r="F3" s="119"/>
      <c r="G3" s="119"/>
      <c r="H3" s="119"/>
      <c r="I3" s="119"/>
      <c r="J3" s="119"/>
      <c r="K3" s="120"/>
    </row>
    <row r="4" spans="1:11" ht="15.75" customHeight="1" thickBot="1" x14ac:dyDescent="0.25"/>
    <row r="5" spans="1:11" ht="15.75" customHeight="1" x14ac:dyDescent="0.25">
      <c r="A5" s="60" t="s">
        <v>45</v>
      </c>
      <c r="B5" s="60"/>
      <c r="C5" s="60" t="s">
        <v>157</v>
      </c>
      <c r="D5" s="60"/>
      <c r="E5" s="86"/>
      <c r="F5" s="87" t="s">
        <v>65</v>
      </c>
      <c r="G5" s="156"/>
      <c r="H5" s="88"/>
      <c r="I5" s="60"/>
      <c r="J5" s="61"/>
    </row>
    <row r="6" spans="1:11" ht="15.75" customHeight="1" x14ac:dyDescent="0.25">
      <c r="A6" s="38"/>
      <c r="B6" s="24" t="s">
        <v>67</v>
      </c>
      <c r="C6" s="38" t="str">
        <f>'Timing calculations'!$A$4</f>
        <v>Base case</v>
      </c>
      <c r="E6" s="89" t="s">
        <v>35</v>
      </c>
      <c r="F6" s="90" t="s">
        <v>8</v>
      </c>
      <c r="G6" s="90" t="s">
        <v>36</v>
      </c>
      <c r="H6" s="91" t="s">
        <v>176</v>
      </c>
      <c r="I6" s="32"/>
      <c r="J6" s="61" t="s">
        <v>97</v>
      </c>
    </row>
    <row r="7" spans="1:11" ht="15.75" customHeight="1" x14ac:dyDescent="0.25">
      <c r="A7" s="12" t="s">
        <v>114</v>
      </c>
      <c r="E7" s="92"/>
      <c r="F7" s="83"/>
      <c r="G7" s="83"/>
      <c r="H7" s="93"/>
      <c r="I7" s="32"/>
      <c r="J7" s="61"/>
    </row>
    <row r="8" spans="1:11" ht="15.75" customHeight="1" x14ac:dyDescent="0.25">
      <c r="A8" s="23" t="s">
        <v>78</v>
      </c>
      <c r="E8" s="92"/>
      <c r="F8" s="83"/>
      <c r="G8" s="83"/>
      <c r="H8" s="93"/>
      <c r="I8" s="32"/>
      <c r="J8" s="61"/>
    </row>
    <row r="9" spans="1:11" ht="15.75" customHeight="1" x14ac:dyDescent="0.25">
      <c r="C9" s="123"/>
      <c r="E9" s="92"/>
      <c r="F9" s="83"/>
      <c r="G9" s="83"/>
      <c r="H9" s="93"/>
      <c r="I9" s="32"/>
      <c r="J9" s="61"/>
    </row>
    <row r="10" spans="1:11" ht="15.75" customHeight="1" x14ac:dyDescent="0.25">
      <c r="A10" s="24" t="s">
        <v>72</v>
      </c>
      <c r="B10" s="24" t="s">
        <v>70</v>
      </c>
      <c r="C10" s="123">
        <f ca="1">'Timing calculations'!$C$35</f>
        <v>48.405046941568237</v>
      </c>
      <c r="E10" s="94">
        <v>29.554102066090405</v>
      </c>
      <c r="F10" s="80">
        <v>48.405046941568237</v>
      </c>
      <c r="G10" s="80">
        <v>70.149674911736255</v>
      </c>
      <c r="H10" s="95">
        <v>14.792582345343254</v>
      </c>
      <c r="I10" s="32"/>
      <c r="J10" s="61"/>
    </row>
    <row r="11" spans="1:11" ht="15.75" customHeight="1" x14ac:dyDescent="0.25">
      <c r="A11" s="24" t="s">
        <v>146</v>
      </c>
      <c r="B11" s="24" t="s">
        <v>70</v>
      </c>
      <c r="C11" s="68">
        <f ca="1">'Timing calculations'!$C$38</f>
        <v>-8.9215261097421692</v>
      </c>
      <c r="E11" s="96">
        <v>-5.0601629025981429</v>
      </c>
      <c r="F11" s="81">
        <v>-8.9215261097421692</v>
      </c>
      <c r="G11" s="81">
        <v>-14.231057532793837</v>
      </c>
      <c r="H11" s="97">
        <v>-2.7264183791372063</v>
      </c>
      <c r="I11" s="32"/>
      <c r="J11" s="35"/>
    </row>
    <row r="12" spans="1:11" ht="15.75" customHeight="1" x14ac:dyDescent="0.25">
      <c r="C12" s="123"/>
      <c r="E12" s="96"/>
      <c r="F12" s="81"/>
      <c r="G12" s="81"/>
      <c r="H12" s="97"/>
      <c r="I12" s="32"/>
      <c r="J12" s="35"/>
    </row>
    <row r="13" spans="1:11" ht="15.75" customHeight="1" x14ac:dyDescent="0.25">
      <c r="A13" s="24" t="s">
        <v>40</v>
      </c>
      <c r="B13" s="24" t="s">
        <v>70</v>
      </c>
      <c r="C13" s="123">
        <f ca="1">C10+C11</f>
        <v>39.48352083182607</v>
      </c>
      <c r="E13" s="96">
        <v>24.493939163492261</v>
      </c>
      <c r="F13" s="81">
        <v>39.48352083182607</v>
      </c>
      <c r="G13" s="81">
        <v>55.918617378942415</v>
      </c>
      <c r="H13" s="97">
        <v>12.066163966206048</v>
      </c>
      <c r="I13" s="32"/>
      <c r="J13" s="35"/>
    </row>
    <row r="14" spans="1:11" ht="15.75" customHeight="1" x14ac:dyDescent="0.25">
      <c r="C14" s="123"/>
      <c r="E14" s="92"/>
      <c r="F14" s="83"/>
      <c r="G14" s="83"/>
      <c r="H14" s="93"/>
      <c r="I14" s="32"/>
      <c r="J14" s="35"/>
    </row>
    <row r="15" spans="1:11" ht="15.75" customHeight="1" x14ac:dyDescent="0.25">
      <c r="A15" s="23" t="s">
        <v>58</v>
      </c>
      <c r="E15" s="94"/>
      <c r="F15" s="80"/>
      <c r="G15" s="80"/>
      <c r="H15" s="95"/>
      <c r="I15" s="32"/>
      <c r="J15" s="61"/>
    </row>
    <row r="16" spans="1:11" ht="15.75" customHeight="1" x14ac:dyDescent="0.25">
      <c r="A16" s="24" t="s">
        <v>25</v>
      </c>
      <c r="B16" s="24" t="s">
        <v>0</v>
      </c>
      <c r="C16" s="62">
        <f ca="1">'Timing calculations'!$D$32</f>
        <v>519.34449391600901</v>
      </c>
      <c r="E16" s="98">
        <v>472.29697111007221</v>
      </c>
      <c r="F16" s="99">
        <v>519.34449391600901</v>
      </c>
      <c r="G16" s="99">
        <v>529.89061945138894</v>
      </c>
      <c r="H16" s="100">
        <v>519.34449391600901</v>
      </c>
      <c r="I16" s="32"/>
      <c r="J16" s="63" t="s">
        <v>31</v>
      </c>
    </row>
    <row r="17" spans="1:11" ht="15.75" customHeight="1" x14ac:dyDescent="0.25">
      <c r="A17" s="24" t="s">
        <v>79</v>
      </c>
      <c r="B17" s="24" t="s">
        <v>0</v>
      </c>
      <c r="C17" s="155">
        <f ca="1">'Timing calculations'!$D$33</f>
        <v>51.934449391600914</v>
      </c>
      <c r="E17" s="94">
        <v>35.894569804365474</v>
      </c>
      <c r="F17" s="80">
        <v>51.934449391600914</v>
      </c>
      <c r="G17" s="80">
        <v>66.766218050874997</v>
      </c>
      <c r="H17" s="95">
        <v>15.871167734073238</v>
      </c>
      <c r="I17" s="32"/>
      <c r="J17" s="61"/>
    </row>
    <row r="18" spans="1:11" ht="15.75" customHeight="1" x14ac:dyDescent="0.25">
      <c r="A18" s="24" t="s">
        <v>55</v>
      </c>
      <c r="C18" s="64">
        <f ca="1">$C$16/'Timing calculations'!$D$18</f>
        <v>6.4279686873069536E-2</v>
      </c>
      <c r="E18" s="101">
        <v>6.4579564342975945E-2</v>
      </c>
      <c r="F18" s="102">
        <v>6.4279686873069536E-2</v>
      </c>
      <c r="G18" s="102">
        <v>6.4215333087728949E-2</v>
      </c>
      <c r="H18" s="103">
        <v>6.4279686873069536E-2</v>
      </c>
      <c r="I18" s="32"/>
      <c r="J18" s="61"/>
    </row>
    <row r="19" spans="1:11" ht="15.75" customHeight="1" x14ac:dyDescent="0.25">
      <c r="A19" s="24" t="s">
        <v>56</v>
      </c>
      <c r="C19" s="64">
        <f ca="1">$C$17/'Timing calculations'!$D$18</f>
        <v>6.4279686873069553E-3</v>
      </c>
      <c r="E19" s="104">
        <v>4.9080468900661693E-3</v>
      </c>
      <c r="F19" s="82">
        <v>6.4279686873069553E-3</v>
      </c>
      <c r="G19" s="82">
        <v>8.0911319690538473E-3</v>
      </c>
      <c r="H19" s="105">
        <v>1.9643872308410053E-3</v>
      </c>
      <c r="I19" s="32"/>
      <c r="J19" s="59" t="s">
        <v>47</v>
      </c>
    </row>
    <row r="20" spans="1:11" ht="15.75" customHeight="1" x14ac:dyDescent="0.25">
      <c r="A20" s="24" t="s">
        <v>57</v>
      </c>
      <c r="C20" s="64">
        <f ca="1">$C$17/('Timing calculations'!$D$18-'Timing calculations'!$D$19)</f>
        <v>1.4935574302860287E-2</v>
      </c>
      <c r="E20" s="104">
        <v>1.1403991303389037E-2</v>
      </c>
      <c r="F20" s="82">
        <v>1.4935574302860287E-2</v>
      </c>
      <c r="G20" s="82">
        <v>1.8799983104566292E-2</v>
      </c>
      <c r="H20" s="105">
        <v>4.5643115069541034E-3</v>
      </c>
      <c r="I20" s="32"/>
      <c r="J20" s="61"/>
    </row>
    <row r="21" spans="1:11" ht="15.75" customHeight="1" x14ac:dyDescent="0.25">
      <c r="A21" s="24" t="s">
        <v>73</v>
      </c>
      <c r="C21" s="64">
        <f ca="1">'Timing calculations'!$D$30/8760</f>
        <v>1.0273972602739725E-2</v>
      </c>
      <c r="E21" s="104">
        <v>1.0273972602739725E-2</v>
      </c>
      <c r="F21" s="82">
        <v>1.0273972602739725E-2</v>
      </c>
      <c r="G21" s="82">
        <v>1.0273972602739725E-2</v>
      </c>
      <c r="H21" s="105">
        <v>1.0273972602739725E-2</v>
      </c>
      <c r="I21" s="32"/>
      <c r="J21" s="35"/>
    </row>
    <row r="22" spans="1:11" ht="15.75" customHeight="1" x14ac:dyDescent="0.25">
      <c r="A22" s="24" t="s">
        <v>74</v>
      </c>
      <c r="B22" s="24" t="s">
        <v>69</v>
      </c>
      <c r="C22" s="68">
        <f ca="1">'Timing calculations'!$D$38</f>
        <v>-1.1767035062521691</v>
      </c>
      <c r="E22" s="106">
        <v>-0.80950383437909323</v>
      </c>
      <c r="F22" s="107">
        <v>-1.1767035062521691</v>
      </c>
      <c r="G22" s="107">
        <v>-1.5142699543903013</v>
      </c>
      <c r="H22" s="108">
        <v>-0.3596005915106627</v>
      </c>
      <c r="I22" s="32"/>
      <c r="J22" s="35"/>
    </row>
    <row r="23" spans="1:11" ht="15.75" customHeight="1" x14ac:dyDescent="0.25">
      <c r="E23" s="104"/>
      <c r="F23" s="82"/>
      <c r="G23" s="82"/>
      <c r="H23" s="105"/>
      <c r="I23" s="32"/>
      <c r="J23" s="61"/>
    </row>
    <row r="24" spans="1:11" ht="15.75" customHeight="1" x14ac:dyDescent="0.25">
      <c r="A24" s="12" t="s">
        <v>115</v>
      </c>
      <c r="E24" s="92"/>
      <c r="F24" s="83"/>
      <c r="G24" s="83"/>
      <c r="H24" s="93"/>
      <c r="I24" s="32"/>
      <c r="J24" s="35"/>
    </row>
    <row r="25" spans="1:11" ht="15.75" customHeight="1" x14ac:dyDescent="0.25">
      <c r="A25" s="23" t="s">
        <v>78</v>
      </c>
      <c r="E25" s="109"/>
      <c r="F25" s="84"/>
      <c r="G25" s="84"/>
      <c r="H25" s="110"/>
      <c r="I25" s="32"/>
      <c r="J25" s="35"/>
    </row>
    <row r="26" spans="1:11" ht="15.75" customHeight="1" x14ac:dyDescent="0.25">
      <c r="A26" s="23"/>
      <c r="E26" s="109"/>
      <c r="F26" s="84"/>
      <c r="G26" s="84"/>
      <c r="H26" s="110"/>
      <c r="I26" s="32"/>
      <c r="J26" s="35"/>
    </row>
    <row r="27" spans="1:11" ht="15.75" customHeight="1" x14ac:dyDescent="0.25">
      <c r="A27" s="24" t="s">
        <v>72</v>
      </c>
      <c r="B27" s="24" t="s">
        <v>70</v>
      </c>
      <c r="C27" s="68">
        <f ca="1">'Timing calculations'!$C$50</f>
        <v>23.067693232035904</v>
      </c>
      <c r="E27" s="94">
        <v>8.699026665456163</v>
      </c>
      <c r="F27" s="80">
        <v>23.067693232035904</v>
      </c>
      <c r="G27" s="80">
        <v>46.298785441745935</v>
      </c>
      <c r="H27" s="95">
        <v>0</v>
      </c>
      <c r="I27" s="32"/>
      <c r="J27" s="35"/>
    </row>
    <row r="28" spans="1:11" ht="15.75" customHeight="1" x14ac:dyDescent="0.25">
      <c r="A28" s="24" t="s">
        <v>146</v>
      </c>
      <c r="B28" s="24" t="s">
        <v>70</v>
      </c>
      <c r="C28" s="68">
        <f ca="1">'Timing calculations'!$C$53</f>
        <v>-7.7713929179509487</v>
      </c>
      <c r="E28" s="109">
        <v>-2.4866726565454398</v>
      </c>
      <c r="F28" s="84">
        <v>-7.7713929179509487</v>
      </c>
      <c r="G28" s="84">
        <v>-18.784995943287868</v>
      </c>
      <c r="H28" s="110">
        <v>0</v>
      </c>
      <c r="I28" s="32"/>
      <c r="J28" s="35"/>
    </row>
    <row r="29" spans="1:11" ht="15.75" customHeight="1" x14ac:dyDescent="0.25">
      <c r="B29" s="37"/>
      <c r="C29" s="37"/>
      <c r="D29" s="37"/>
      <c r="E29" s="94"/>
      <c r="F29" s="80"/>
      <c r="G29" s="80"/>
      <c r="H29" s="95"/>
      <c r="I29" s="35"/>
      <c r="J29" s="35"/>
      <c r="K29" s="37"/>
    </row>
    <row r="30" spans="1:11" ht="15.75" customHeight="1" x14ac:dyDescent="0.25">
      <c r="A30" s="24" t="s">
        <v>158</v>
      </c>
      <c r="B30" s="37" t="s">
        <v>70</v>
      </c>
      <c r="C30" s="121">
        <f ca="1">C27+C28</f>
        <v>15.296300314084956</v>
      </c>
      <c r="D30" s="37"/>
      <c r="E30" s="94">
        <v>6.2123540089107232</v>
      </c>
      <c r="F30" s="80">
        <v>15.296300314084956</v>
      </c>
      <c r="G30" s="80">
        <v>27.513789498458067</v>
      </c>
      <c r="H30" s="95">
        <v>0</v>
      </c>
      <c r="I30" s="35"/>
      <c r="J30" s="35"/>
      <c r="K30" s="37"/>
    </row>
    <row r="31" spans="1:11" ht="15.75" customHeight="1" x14ac:dyDescent="0.25">
      <c r="B31" s="37"/>
      <c r="C31" s="37"/>
      <c r="D31" s="37"/>
      <c r="E31" s="94"/>
      <c r="F31" s="80"/>
      <c r="G31" s="80"/>
      <c r="H31" s="95"/>
      <c r="I31" s="35"/>
      <c r="J31" s="35"/>
      <c r="K31" s="37"/>
    </row>
    <row r="32" spans="1:11" ht="15.75" customHeight="1" x14ac:dyDescent="0.25">
      <c r="A32" s="23" t="s">
        <v>58</v>
      </c>
      <c r="B32" s="37"/>
      <c r="C32" s="37"/>
      <c r="D32" s="37"/>
      <c r="E32" s="94"/>
      <c r="F32" s="80"/>
      <c r="G32" s="80"/>
      <c r="H32" s="95"/>
      <c r="I32" s="35"/>
      <c r="J32" s="35"/>
      <c r="K32" s="37"/>
    </row>
    <row r="33" spans="1:11" ht="15.75" customHeight="1" x14ac:dyDescent="0.25">
      <c r="A33" s="24" t="s">
        <v>49</v>
      </c>
      <c r="B33" s="37" t="s">
        <v>0</v>
      </c>
      <c r="C33" s="65">
        <f ca="1">'Timing calculations'!$D$19*'Timing calculations'!$D$43</f>
        <v>552.2661789343515</v>
      </c>
      <c r="D33" s="37"/>
      <c r="E33" s="98">
        <v>374.92809171242203</v>
      </c>
      <c r="F33" s="99">
        <v>552.2661789343515</v>
      </c>
      <c r="G33" s="99">
        <v>705.0569099806695</v>
      </c>
      <c r="H33" s="100">
        <v>0</v>
      </c>
      <c r="I33" s="35"/>
      <c r="J33" s="61"/>
      <c r="K33" s="37"/>
    </row>
    <row r="34" spans="1:11" ht="15.75" customHeight="1" x14ac:dyDescent="0.25">
      <c r="A34" s="24" t="s">
        <v>14</v>
      </c>
      <c r="B34" s="37" t="s">
        <v>0</v>
      </c>
      <c r="C34" s="65">
        <f ca="1">'Timing calculations'!$D$48</f>
        <v>24.2466836118546</v>
      </c>
      <c r="D34" s="37"/>
      <c r="E34" s="111">
        <v>10.543376485551502</v>
      </c>
      <c r="F34" s="85">
        <v>24.2466836118546</v>
      </c>
      <c r="G34" s="85">
        <v>44.418585328782164</v>
      </c>
      <c r="H34" s="112">
        <v>0</v>
      </c>
      <c r="I34" s="66"/>
      <c r="J34" s="66"/>
      <c r="K34" s="37"/>
    </row>
    <row r="35" spans="1:11" ht="15.75" customHeight="1" x14ac:dyDescent="0.25">
      <c r="A35" s="24" t="s">
        <v>75</v>
      </c>
      <c r="B35" s="37"/>
      <c r="C35" s="122">
        <f ca="1">$C$34/'Timing calculations'!$D$19</f>
        <v>5.268477673278666E-3</v>
      </c>
      <c r="D35" s="37"/>
      <c r="E35" s="104">
        <v>2.5308956695287185E-3</v>
      </c>
      <c r="F35" s="82">
        <v>5.268477673278666E-3</v>
      </c>
      <c r="G35" s="82">
        <v>9.4499999999999966E-3</v>
      </c>
      <c r="H35" s="105">
        <v>0</v>
      </c>
      <c r="I35" s="35"/>
      <c r="J35" s="35"/>
      <c r="K35" s="37"/>
    </row>
    <row r="36" spans="1:11" ht="15.75" customHeight="1" x14ac:dyDescent="0.25">
      <c r="A36" s="24" t="s">
        <v>73</v>
      </c>
      <c r="B36" s="37"/>
      <c r="C36" s="64">
        <f ca="1">'Timing calculations'!$D$30/8760</f>
        <v>1.0273972602739725E-2</v>
      </c>
      <c r="D36" s="37"/>
      <c r="E36" s="104">
        <v>1.0273972602739725E-2</v>
      </c>
      <c r="F36" s="82">
        <v>1.0273972602739725E-2</v>
      </c>
      <c r="G36" s="82">
        <v>1.0273972602739725E-2</v>
      </c>
      <c r="H36" s="105">
        <v>1.0273972602739725E-2</v>
      </c>
      <c r="I36" s="35"/>
      <c r="J36" s="35"/>
      <c r="K36" s="37"/>
    </row>
    <row r="37" spans="1:11" ht="15.75" customHeight="1" x14ac:dyDescent="0.25">
      <c r="A37" s="24" t="s">
        <v>74</v>
      </c>
      <c r="B37" s="37" t="s">
        <v>69</v>
      </c>
      <c r="C37" s="121">
        <f ca="1">'Timing calculations'!$D$53</f>
        <v>-1.0911007625334568</v>
      </c>
      <c r="D37" s="37"/>
      <c r="E37" s="106">
        <v>-0.47445194184981759</v>
      </c>
      <c r="F37" s="107">
        <v>-1.0911007625334568</v>
      </c>
      <c r="G37" s="107">
        <v>-1.998836339795198</v>
      </c>
      <c r="H37" s="108">
        <v>0</v>
      </c>
      <c r="I37" s="35"/>
      <c r="J37" s="35"/>
      <c r="K37" s="37"/>
    </row>
    <row r="38" spans="1:11" ht="15.75" customHeight="1" x14ac:dyDescent="0.25">
      <c r="B38" s="37"/>
      <c r="C38" s="37"/>
      <c r="D38" s="37"/>
      <c r="E38" s="104"/>
      <c r="F38" s="82"/>
      <c r="G38" s="82"/>
      <c r="H38" s="105"/>
      <c r="I38" s="35"/>
      <c r="J38" s="35"/>
      <c r="K38" s="37"/>
    </row>
    <row r="39" spans="1:11" ht="15.75" customHeight="1" x14ac:dyDescent="0.25">
      <c r="A39" s="12" t="s">
        <v>116</v>
      </c>
      <c r="B39" s="37"/>
      <c r="C39" s="37"/>
      <c r="D39" s="37"/>
      <c r="E39" s="92"/>
      <c r="F39" s="83"/>
      <c r="G39" s="83"/>
      <c r="H39" s="93"/>
      <c r="I39" s="35"/>
      <c r="J39" s="35"/>
      <c r="K39" s="37"/>
    </row>
    <row r="40" spans="1:11" ht="15.75" customHeight="1" x14ac:dyDescent="0.25">
      <c r="A40" s="23" t="s">
        <v>19</v>
      </c>
      <c r="B40" s="37" t="s">
        <v>70</v>
      </c>
      <c r="C40" s="121">
        <f ca="1">'Timing calculations'!$C$61</f>
        <v>7.6930108789795106</v>
      </c>
      <c r="D40" s="37"/>
      <c r="E40" s="98">
        <v>0</v>
      </c>
      <c r="F40" s="99">
        <v>7.6930108789795106</v>
      </c>
      <c r="G40" s="99">
        <v>19.008088349019076</v>
      </c>
      <c r="H40" s="100">
        <v>0</v>
      </c>
      <c r="I40" s="35"/>
      <c r="J40" s="35"/>
      <c r="K40" s="37"/>
    </row>
    <row r="41" spans="1:11" ht="15.75" customHeight="1" x14ac:dyDescent="0.2">
      <c r="B41" s="37"/>
      <c r="C41" s="37"/>
      <c r="D41" s="37"/>
      <c r="E41" s="92"/>
      <c r="F41" s="83"/>
      <c r="G41" s="83"/>
      <c r="H41" s="93"/>
      <c r="I41" s="37"/>
      <c r="K41" s="37"/>
    </row>
    <row r="42" spans="1:11" ht="15.75" customHeight="1" x14ac:dyDescent="0.25">
      <c r="A42" s="23" t="s">
        <v>58</v>
      </c>
      <c r="B42" s="37"/>
      <c r="C42" s="37"/>
      <c r="D42" s="37"/>
      <c r="E42" s="98"/>
      <c r="F42" s="99"/>
      <c r="G42" s="99"/>
      <c r="H42" s="100"/>
      <c r="I42" s="35"/>
      <c r="J42" s="35"/>
      <c r="K42" s="37"/>
    </row>
    <row r="43" spans="1:11" ht="15.75" customHeight="1" x14ac:dyDescent="0.25">
      <c r="A43" s="24" t="s">
        <v>20</v>
      </c>
      <c r="B43" s="37" t="s">
        <v>1</v>
      </c>
      <c r="C43" s="122">
        <f ca="1">'Timing calculations'!$D$58/'Timing calculations'!$D$18</f>
        <v>6.1885403259387562E-3</v>
      </c>
      <c r="D43" s="37"/>
      <c r="E43" s="104">
        <v>0</v>
      </c>
      <c r="F43" s="82">
        <v>6.1885403259387562E-3</v>
      </c>
      <c r="G43" s="82">
        <v>9.0889512000910128E-3</v>
      </c>
      <c r="H43" s="105">
        <v>0</v>
      </c>
      <c r="I43" s="35"/>
      <c r="J43" s="63"/>
      <c r="K43" s="37"/>
    </row>
    <row r="44" spans="1:11" ht="15.75" customHeight="1" x14ac:dyDescent="0.25">
      <c r="B44" s="37"/>
      <c r="C44" s="37"/>
      <c r="D44" s="37"/>
      <c r="E44" s="92"/>
      <c r="F44" s="83"/>
      <c r="G44" s="83"/>
      <c r="H44" s="93"/>
      <c r="I44" s="35"/>
      <c r="J44" s="35"/>
      <c r="K44" s="37"/>
    </row>
    <row r="45" spans="1:11" ht="15.75" customHeight="1" x14ac:dyDescent="0.25">
      <c r="A45" s="38" t="s">
        <v>86</v>
      </c>
      <c r="B45" s="37"/>
      <c r="C45" s="37"/>
      <c r="D45" s="37"/>
      <c r="E45" s="92"/>
      <c r="F45" s="83"/>
      <c r="G45" s="83"/>
      <c r="H45" s="93"/>
      <c r="I45" s="35"/>
      <c r="J45" s="35"/>
      <c r="K45" s="37"/>
    </row>
    <row r="46" spans="1:11" ht="15.75" customHeight="1" x14ac:dyDescent="0.25">
      <c r="A46" s="38"/>
      <c r="B46" s="37"/>
      <c r="C46" s="37"/>
      <c r="D46" s="37"/>
      <c r="E46" s="92"/>
      <c r="F46" s="83"/>
      <c r="G46" s="83"/>
      <c r="H46" s="93"/>
      <c r="I46" s="35"/>
      <c r="J46" s="35"/>
      <c r="K46" s="37"/>
    </row>
    <row r="47" spans="1:11" ht="15.75" customHeight="1" x14ac:dyDescent="0.25">
      <c r="A47" s="38" t="s">
        <v>90</v>
      </c>
      <c r="B47" s="37"/>
      <c r="C47" s="37"/>
      <c r="D47" s="37"/>
      <c r="E47" s="92"/>
      <c r="F47" s="83"/>
      <c r="G47" s="83"/>
      <c r="H47" s="93"/>
      <c r="I47" s="35"/>
      <c r="J47" s="35"/>
      <c r="K47" s="37"/>
    </row>
    <row r="48" spans="1:11" ht="15.75" customHeight="1" x14ac:dyDescent="0.25">
      <c r="A48" s="24" t="s">
        <v>66</v>
      </c>
      <c r="B48" s="37" t="s">
        <v>70</v>
      </c>
      <c r="C48" s="121">
        <f ca="1">'Timing calculations'!$C$69</f>
        <v>-10.186009255962976</v>
      </c>
      <c r="D48" s="37"/>
      <c r="E48" s="98">
        <v>-10.835048010973937</v>
      </c>
      <c r="F48" s="113">
        <v>-10.186009255962976</v>
      </c>
      <c r="G48" s="99">
        <v>-9.4785502958579855</v>
      </c>
      <c r="H48" s="100">
        <v>-10.186009255962976</v>
      </c>
      <c r="I48" s="35"/>
      <c r="J48" s="35"/>
      <c r="K48" s="37"/>
    </row>
    <row r="49" spans="1:16" ht="15.75" customHeight="1" x14ac:dyDescent="0.25">
      <c r="B49" s="37"/>
      <c r="C49" s="37"/>
      <c r="D49" s="37"/>
      <c r="E49" s="98"/>
      <c r="F49" s="99"/>
      <c r="G49" s="99"/>
      <c r="H49" s="100"/>
      <c r="I49" s="35"/>
      <c r="J49" s="35"/>
      <c r="K49" s="37"/>
    </row>
    <row r="50" spans="1:16" ht="15.75" customHeight="1" x14ac:dyDescent="0.25">
      <c r="A50" s="38" t="s">
        <v>88</v>
      </c>
      <c r="B50" s="37"/>
      <c r="C50" s="37"/>
      <c r="D50" s="37"/>
      <c r="E50" s="98"/>
      <c r="F50" s="99"/>
      <c r="G50" s="99"/>
      <c r="H50" s="100"/>
      <c r="I50" s="35"/>
      <c r="J50" s="35"/>
      <c r="K50" s="37"/>
    </row>
    <row r="51" spans="1:16" ht="15.75" customHeight="1" x14ac:dyDescent="0.25">
      <c r="A51" s="24" t="s">
        <v>66</v>
      </c>
      <c r="B51" s="24" t="s">
        <v>70</v>
      </c>
      <c r="C51" s="68">
        <f ca="1">'Timing calculations'!$C$83</f>
        <v>1.9533187154663347</v>
      </c>
      <c r="E51" s="114">
        <v>1.268924148718545</v>
      </c>
      <c r="F51" s="113">
        <v>1.9533187154663347</v>
      </c>
      <c r="G51" s="84">
        <v>2.9081585231113158</v>
      </c>
      <c r="H51" s="110">
        <v>1.9533187154663347</v>
      </c>
      <c r="I51" s="35"/>
      <c r="J51" s="35"/>
      <c r="K51" s="37"/>
    </row>
    <row r="52" spans="1:16" ht="15.75" customHeight="1" x14ac:dyDescent="0.25">
      <c r="B52" s="37"/>
      <c r="C52" s="37"/>
      <c r="D52" s="37"/>
      <c r="E52" s="98"/>
      <c r="F52" s="99"/>
      <c r="G52" s="99"/>
      <c r="H52" s="100"/>
      <c r="I52" s="35"/>
      <c r="J52" s="35"/>
      <c r="K52" s="37"/>
    </row>
    <row r="53" spans="1:16" ht="15.75" customHeight="1" x14ac:dyDescent="0.25">
      <c r="A53" s="38" t="s">
        <v>89</v>
      </c>
      <c r="E53" s="92"/>
      <c r="F53" s="83"/>
      <c r="G53" s="83"/>
      <c r="H53" s="93"/>
      <c r="I53" s="35"/>
      <c r="J53" s="35"/>
      <c r="K53" s="37"/>
    </row>
    <row r="54" spans="1:16" ht="15.75" customHeight="1" x14ac:dyDescent="0.25">
      <c r="A54" s="24" t="s">
        <v>66</v>
      </c>
      <c r="B54" s="24" t="s">
        <v>70</v>
      </c>
      <c r="C54" s="68">
        <f ca="1">'Timing calculations'!$C$91</f>
        <v>-1.4346742613029546</v>
      </c>
      <c r="E54" s="109">
        <v>-1.8254886831275721</v>
      </c>
      <c r="F54" s="113">
        <v>-1.4346742613029546</v>
      </c>
      <c r="G54" s="113">
        <v>-1.1011464497041419</v>
      </c>
      <c r="H54" s="115">
        <v>-1.4346742613029546</v>
      </c>
      <c r="I54" s="35"/>
      <c r="J54" s="24"/>
      <c r="K54" s="37"/>
    </row>
    <row r="55" spans="1:16" ht="15.75" customHeight="1" x14ac:dyDescent="0.25">
      <c r="E55" s="114"/>
      <c r="F55" s="113"/>
      <c r="G55" s="113"/>
      <c r="H55" s="115"/>
      <c r="I55" s="35"/>
      <c r="J55" s="61"/>
      <c r="K55" s="37"/>
    </row>
    <row r="56" spans="1:16" ht="15.75" customHeight="1" x14ac:dyDescent="0.25">
      <c r="A56" s="38" t="s">
        <v>92</v>
      </c>
      <c r="E56" s="92"/>
      <c r="F56" s="83"/>
      <c r="G56" s="83"/>
      <c r="H56" s="93"/>
      <c r="I56" s="35"/>
      <c r="J56" s="35"/>
      <c r="K56" s="37"/>
    </row>
    <row r="57" spans="1:16" ht="15.75" customHeight="1" thickBot="1" x14ac:dyDescent="0.3">
      <c r="A57" s="24" t="s">
        <v>66</v>
      </c>
      <c r="B57" s="24" t="s">
        <v>70</v>
      </c>
      <c r="C57" s="175">
        <f ca="1">'Timing calculations'!$C$97</f>
        <v>-2.4296902812388748</v>
      </c>
      <c r="E57" s="185">
        <v>-4.6210562414266123</v>
      </c>
      <c r="F57" s="194">
        <v>-2.3985404058383768</v>
      </c>
      <c r="G57" s="116">
        <v>0</v>
      </c>
      <c r="H57" s="117">
        <v>-2.3985404058383768</v>
      </c>
      <c r="I57" s="37"/>
      <c r="J57" s="35"/>
      <c r="K57" s="37"/>
    </row>
    <row r="58" spans="1:16" ht="15" x14ac:dyDescent="0.25">
      <c r="E58" s="37"/>
      <c r="F58" s="37"/>
      <c r="G58" s="37"/>
      <c r="H58" s="37"/>
      <c r="I58" s="37"/>
      <c r="J58" s="35"/>
      <c r="K58" s="37"/>
      <c r="N58" s="67"/>
      <c r="O58" s="67"/>
      <c r="P58" s="67"/>
    </row>
    <row r="59" spans="1:16" ht="15" x14ac:dyDescent="0.25">
      <c r="E59" s="37"/>
      <c r="F59" s="37"/>
      <c r="G59" s="37"/>
      <c r="H59" s="37"/>
      <c r="I59" s="37"/>
      <c r="J59" s="35"/>
      <c r="K59" s="37"/>
      <c r="N59" s="67"/>
      <c r="O59" s="67"/>
      <c r="P59" s="67"/>
    </row>
    <row r="60" spans="1:16" ht="15" x14ac:dyDescent="0.25">
      <c r="E60" s="37"/>
      <c r="F60" s="37"/>
      <c r="G60" s="37"/>
      <c r="H60" s="37"/>
      <c r="I60" s="37"/>
      <c r="J60" s="35"/>
      <c r="K60" s="37"/>
      <c r="N60" s="67"/>
      <c r="O60" s="67"/>
      <c r="P60" s="67"/>
    </row>
    <row r="61" spans="1:16" ht="15" x14ac:dyDescent="0.25">
      <c r="E61" s="37"/>
      <c r="F61" s="37"/>
      <c r="G61" s="37"/>
      <c r="H61" s="37"/>
      <c r="I61" s="37"/>
      <c r="J61" s="35"/>
      <c r="K61" s="37"/>
      <c r="N61" s="67"/>
      <c r="O61" s="67"/>
      <c r="P61" s="67"/>
    </row>
    <row r="62" spans="1:16" ht="15" x14ac:dyDescent="0.25">
      <c r="E62" s="37"/>
      <c r="F62" s="37"/>
      <c r="G62" s="37"/>
      <c r="H62" s="37"/>
      <c r="I62" s="37"/>
      <c r="J62" s="35"/>
      <c r="K62" s="37"/>
      <c r="N62" s="67"/>
      <c r="O62" s="67"/>
      <c r="P62" s="67"/>
    </row>
    <row r="63" spans="1:16" ht="15" x14ac:dyDescent="0.25">
      <c r="E63" s="37"/>
      <c r="F63" s="37"/>
      <c r="G63" s="37"/>
      <c r="H63" s="37"/>
      <c r="I63" s="37"/>
      <c r="J63" s="35"/>
      <c r="K63" s="37"/>
      <c r="N63" s="67"/>
      <c r="O63" s="67"/>
      <c r="P63" s="67"/>
    </row>
    <row r="64" spans="1:16" ht="15" x14ac:dyDescent="0.25">
      <c r="E64" s="37"/>
      <c r="F64" s="37"/>
      <c r="G64" s="37"/>
      <c r="H64" s="37"/>
      <c r="I64" s="37"/>
      <c r="J64" s="35"/>
      <c r="K64" s="37"/>
      <c r="N64" s="67"/>
      <c r="O64" s="67"/>
      <c r="P64" s="67"/>
    </row>
    <row r="65" spans="2:16" ht="17.25" customHeight="1" x14ac:dyDescent="0.25">
      <c r="E65" s="37"/>
      <c r="F65" s="37"/>
      <c r="G65" s="37"/>
      <c r="H65" s="37"/>
      <c r="I65" s="37"/>
      <c r="J65" s="35"/>
      <c r="K65" s="37"/>
      <c r="N65" s="67"/>
      <c r="O65" s="67"/>
      <c r="P65" s="67"/>
    </row>
    <row r="66" spans="2:16" ht="12.75" customHeight="1" x14ac:dyDescent="0.25">
      <c r="E66" s="37"/>
      <c r="F66" s="37"/>
      <c r="G66" s="37"/>
      <c r="H66" s="37"/>
      <c r="I66" s="37"/>
      <c r="J66" s="35"/>
      <c r="K66" s="37"/>
      <c r="N66" s="67"/>
      <c r="O66" s="67"/>
      <c r="P66" s="67"/>
    </row>
    <row r="67" spans="2:16" ht="15" x14ac:dyDescent="0.25">
      <c r="E67" s="37"/>
      <c r="F67" s="37"/>
      <c r="G67" s="37"/>
      <c r="H67" s="37"/>
      <c r="I67" s="37"/>
      <c r="J67" s="35"/>
      <c r="K67" s="37"/>
      <c r="N67" s="67"/>
      <c r="O67" s="67"/>
      <c r="P67" s="67"/>
    </row>
    <row r="68" spans="2:16" ht="15" x14ac:dyDescent="0.25">
      <c r="E68" s="37"/>
      <c r="F68" s="37"/>
      <c r="G68" s="37"/>
      <c r="H68" s="37"/>
      <c r="I68" s="37"/>
      <c r="J68" s="35"/>
      <c r="K68" s="37"/>
      <c r="N68" s="67"/>
      <c r="O68" s="67"/>
      <c r="P68" s="67"/>
    </row>
    <row r="69" spans="2:16" ht="15" x14ac:dyDescent="0.25">
      <c r="E69" s="37"/>
      <c r="F69" s="37"/>
      <c r="G69" s="37"/>
      <c r="H69" s="37"/>
      <c r="I69" s="37"/>
      <c r="J69" s="35"/>
      <c r="K69" s="37"/>
      <c r="N69" s="67"/>
      <c r="O69" s="67"/>
      <c r="P69" s="67"/>
    </row>
    <row r="70" spans="2:16" ht="15" x14ac:dyDescent="0.25">
      <c r="E70" s="37"/>
      <c r="F70" s="37"/>
      <c r="G70" s="37"/>
      <c r="H70" s="37"/>
      <c r="I70" s="37"/>
      <c r="J70" s="35"/>
      <c r="K70" s="37"/>
    </row>
    <row r="71" spans="2:16" ht="15" x14ac:dyDescent="0.25">
      <c r="E71" s="37"/>
      <c r="F71" s="37"/>
      <c r="G71" s="37"/>
      <c r="H71" s="37"/>
      <c r="I71" s="37"/>
      <c r="J71" s="35"/>
      <c r="K71" s="37"/>
    </row>
    <row r="72" spans="2:16" ht="15" x14ac:dyDescent="0.25">
      <c r="E72" s="37"/>
      <c r="F72" s="37"/>
      <c r="G72" s="37"/>
      <c r="H72" s="37"/>
      <c r="I72" s="35"/>
      <c r="J72" s="35"/>
      <c r="K72" s="37"/>
    </row>
    <row r="73" spans="2:16" ht="15" x14ac:dyDescent="0.25">
      <c r="E73" s="37"/>
      <c r="F73" s="37"/>
      <c r="G73" s="37"/>
      <c r="H73" s="37"/>
      <c r="I73" s="35"/>
      <c r="J73" s="35"/>
      <c r="K73" s="37"/>
    </row>
    <row r="74" spans="2:16" ht="15" x14ac:dyDescent="0.25">
      <c r="E74" s="37"/>
      <c r="F74" s="37"/>
      <c r="G74" s="37"/>
      <c r="H74" s="37"/>
      <c r="I74" s="35"/>
      <c r="J74" s="35"/>
      <c r="K74" s="37"/>
    </row>
    <row r="75" spans="2:16" ht="15" x14ac:dyDescent="0.25">
      <c r="B75" s="68"/>
      <c r="C75" s="68"/>
      <c r="D75" s="68"/>
      <c r="E75" s="37"/>
      <c r="F75" s="37"/>
      <c r="G75" s="37"/>
      <c r="H75" s="37"/>
      <c r="I75" s="35"/>
      <c r="J75" s="35"/>
      <c r="K75" s="37"/>
    </row>
    <row r="76" spans="2:16" ht="15" x14ac:dyDescent="0.25">
      <c r="I76" s="32"/>
      <c r="J76" s="35"/>
    </row>
    <row r="77" spans="2:16" ht="15" x14ac:dyDescent="0.25">
      <c r="I77" s="32"/>
      <c r="J77" s="35"/>
    </row>
    <row r="78" spans="2:16" ht="15" x14ac:dyDescent="0.25">
      <c r="I78" s="32"/>
      <c r="J78" s="35"/>
    </row>
    <row r="79" spans="2:16" ht="15" x14ac:dyDescent="0.25">
      <c r="I79" s="32"/>
      <c r="J79" s="35"/>
    </row>
    <row r="80" spans="2:16" ht="15" x14ac:dyDescent="0.25">
      <c r="I80" s="32"/>
      <c r="J80" s="35"/>
    </row>
    <row r="81" spans="9:10" ht="15" x14ac:dyDescent="0.25">
      <c r="I81" s="32"/>
      <c r="J81" s="35"/>
    </row>
  </sheetData>
  <hyperlinks>
    <hyperlink ref="J19" display="http://www.synapse-energy.com/sites/default/files/SynapseReport.2013-03.RAP_.US-Demand-Response.12-080.pdf_x000a_Lots of good diagrams/resources in here from US markets. Figure ES4 suggests slightly more than 1% (2007). Figure 5 shows 2003 numbers, and they're " xr:uid="{00000000-0004-0000-0300-000000000000}"/>
  </hyperlinks>
  <pageMargins left="0.70866141732283472" right="0.70866141732283472" top="0.74803149606299213" bottom="0.74803149606299213" header="0.31496062992125984" footer="0.31496062992125984"/>
  <pageSetup paperSize="8" scale="7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3"/>
  <sheetViews>
    <sheetView tabSelected="1" topLeftCell="A16" zoomScale="85" zoomScaleNormal="85" workbookViewId="0">
      <selection activeCell="D10" activeCellId="1" sqref="D4 D10"/>
    </sheetView>
  </sheetViews>
  <sheetFormatPr defaultRowHeight="15" x14ac:dyDescent="0.25"/>
  <cols>
    <col min="1" max="1" width="22.140625" customWidth="1"/>
    <col min="2" max="2" width="20.42578125" customWidth="1"/>
    <col min="3" max="3" width="10" customWidth="1"/>
    <col min="4" max="4" width="8.140625" customWidth="1"/>
    <col min="5" max="5" width="8" customWidth="1"/>
    <col min="6" max="6" width="42.5703125" customWidth="1"/>
    <col min="8" max="8" width="9.140625" hidden="1" customWidth="1"/>
    <col min="9" max="9" width="35.140625" hidden="1" customWidth="1"/>
    <col min="10" max="12" width="9.140625" hidden="1" customWidth="1"/>
    <col min="13" max="13" width="9.140625" customWidth="1"/>
    <col min="14" max="14" width="39.85546875" customWidth="1"/>
  </cols>
  <sheetData>
    <row r="1" spans="1:18" ht="15.75" thickBot="1" x14ac:dyDescent="0.3">
      <c r="A1" t="s">
        <v>225</v>
      </c>
      <c r="N1" t="s">
        <v>180</v>
      </c>
    </row>
    <row r="2" spans="1:18" ht="25.5" x14ac:dyDescent="0.25">
      <c r="A2" s="2" t="s">
        <v>24</v>
      </c>
      <c r="B2" s="2"/>
      <c r="C2" s="180" t="s">
        <v>16</v>
      </c>
      <c r="D2" s="180" t="s">
        <v>8</v>
      </c>
      <c r="E2" s="180" t="s">
        <v>17</v>
      </c>
      <c r="N2" s="2" t="s">
        <v>24</v>
      </c>
      <c r="O2" s="2"/>
      <c r="P2" s="180" t="s">
        <v>16</v>
      </c>
      <c r="Q2" s="180" t="s">
        <v>8</v>
      </c>
      <c r="R2" s="180" t="s">
        <v>17</v>
      </c>
    </row>
    <row r="3" spans="1:18" ht="15.75" thickBot="1" x14ac:dyDescent="0.3">
      <c r="A3" s="4" t="s">
        <v>150</v>
      </c>
      <c r="B3" s="5"/>
      <c r="C3" s="6"/>
      <c r="D3" s="6"/>
      <c r="E3" s="6"/>
      <c r="N3" s="4" t="s">
        <v>150</v>
      </c>
      <c r="O3" s="5"/>
      <c r="P3" s="6"/>
      <c r="Q3" s="6"/>
      <c r="R3" s="6"/>
    </row>
    <row r="4" spans="1:18" s="125" customFormat="1" ht="15.75" thickBot="1" x14ac:dyDescent="0.3">
      <c r="A4" s="7" t="s">
        <v>173</v>
      </c>
      <c r="B4" s="7"/>
      <c r="C4" s="129">
        <f>'Detailed Results'!E10</f>
        <v>29.554102066090405</v>
      </c>
      <c r="D4" s="129">
        <f>'Detailed Results'!F10</f>
        <v>48.405046941568237</v>
      </c>
      <c r="E4" s="129">
        <f>'Detailed Results'!G10</f>
        <v>70.149674911736255</v>
      </c>
      <c r="N4" s="7" t="s">
        <v>173</v>
      </c>
      <c r="O4" s="7"/>
      <c r="P4" s="129">
        <f t="shared" ref="P4:R6" si="0">+C4-C33</f>
        <v>1.6229676598251856</v>
      </c>
      <c r="Q4" s="129">
        <f t="shared" si="0"/>
        <v>0.62897586742140987</v>
      </c>
      <c r="R4" s="129">
        <f t="shared" si="0"/>
        <v>-14.598301224208726</v>
      </c>
    </row>
    <row r="5" spans="1:18" s="125" customFormat="1" ht="16.5" thickTop="1" thickBot="1" x14ac:dyDescent="0.3">
      <c r="A5" s="8" t="s">
        <v>117</v>
      </c>
      <c r="B5" s="8"/>
      <c r="C5" s="130">
        <f>'Detailed Results'!E27</f>
        <v>8.699026665456163</v>
      </c>
      <c r="D5" s="130">
        <f>'Detailed Results'!F27</f>
        <v>23.067693232035904</v>
      </c>
      <c r="E5" s="130">
        <f>'Detailed Results'!G27</f>
        <v>46.298785441745935</v>
      </c>
      <c r="N5" s="8" t="s">
        <v>117</v>
      </c>
      <c r="O5" s="8"/>
      <c r="P5" s="130">
        <f t="shared" si="0"/>
        <v>1.0207252789140853</v>
      </c>
      <c r="Q5" s="130">
        <f t="shared" si="0"/>
        <v>1.6196594327118703</v>
      </c>
      <c r="R5" s="130">
        <f t="shared" si="0"/>
        <v>-6.5274530163264188</v>
      </c>
    </row>
    <row r="6" spans="1:18" s="125" customFormat="1" ht="15.75" thickBot="1" x14ac:dyDescent="0.3">
      <c r="A6" s="7" t="s">
        <v>21</v>
      </c>
      <c r="B6" s="7"/>
      <c r="C6" s="131">
        <f>'Detailed Results'!E$40</f>
        <v>0</v>
      </c>
      <c r="D6" s="131">
        <f>'Detailed Results'!F$40</f>
        <v>7.6930108789795106</v>
      </c>
      <c r="E6" s="131">
        <f>'Detailed Results'!G$40</f>
        <v>19.008088349019076</v>
      </c>
      <c r="N6" s="7" t="s">
        <v>21</v>
      </c>
      <c r="O6" s="7"/>
      <c r="P6" s="129">
        <f t="shared" si="0"/>
        <v>0</v>
      </c>
      <c r="Q6" s="129">
        <f t="shared" si="0"/>
        <v>0</v>
      </c>
      <c r="R6" s="129">
        <f t="shared" si="0"/>
        <v>0</v>
      </c>
    </row>
    <row r="7" spans="1:18" s="125" customFormat="1" ht="16.5" thickTop="1" thickBot="1" x14ac:dyDescent="0.3">
      <c r="A7" s="8" t="s">
        <v>148</v>
      </c>
      <c r="B7" s="8"/>
      <c r="C7" s="132">
        <f>SUM(C$4:C$6)</f>
        <v>38.253128731546568</v>
      </c>
      <c r="D7" s="132">
        <f t="shared" ref="D7:E7" si="1">SUM(D$4:D$6)</f>
        <v>79.165751052583644</v>
      </c>
      <c r="E7" s="132">
        <f t="shared" si="1"/>
        <v>135.45654870250127</v>
      </c>
      <c r="N7" s="8" t="s">
        <v>148</v>
      </c>
      <c r="O7" s="8"/>
      <c r="P7" s="132">
        <f>SUM(P$4:P$6)</f>
        <v>2.6436929387392709</v>
      </c>
      <c r="Q7" s="132">
        <f t="shared" ref="Q7:R7" si="2">SUM(Q$4:Q$6)</f>
        <v>2.2486353001332802</v>
      </c>
      <c r="R7" s="132">
        <f t="shared" si="2"/>
        <v>-21.125754240535144</v>
      </c>
    </row>
    <row r="8" spans="1:18" s="125" customFormat="1" ht="15.75" thickBot="1" x14ac:dyDescent="0.3">
      <c r="A8" s="7"/>
      <c r="B8" s="7"/>
      <c r="C8" s="129"/>
      <c r="D8" s="129"/>
      <c r="E8" s="129"/>
      <c r="N8" s="7"/>
      <c r="O8" s="7"/>
      <c r="P8" s="129"/>
      <c r="Q8" s="129"/>
      <c r="R8" s="129"/>
    </row>
    <row r="9" spans="1:18" s="125" customFormat="1" ht="15.75" thickBot="1" x14ac:dyDescent="0.3">
      <c r="A9" s="4" t="s">
        <v>160</v>
      </c>
      <c r="B9" s="5"/>
      <c r="C9" s="6"/>
      <c r="D9" s="6"/>
      <c r="E9" s="6"/>
      <c r="N9" s="4" t="s">
        <v>160</v>
      </c>
      <c r="O9" s="5"/>
      <c r="P9" s="6"/>
      <c r="Q9" s="6"/>
      <c r="R9" s="6"/>
    </row>
    <row r="10" spans="1:18" s="125" customFormat="1" ht="15.75" thickBot="1" x14ac:dyDescent="0.3">
      <c r="A10" s="5" t="s">
        <v>151</v>
      </c>
      <c r="B10" s="5"/>
      <c r="C10" s="199">
        <f>'Detailed Results'!E11</f>
        <v>-5.0601629025981429</v>
      </c>
      <c r="D10" s="199">
        <f>'Detailed Results'!F11</f>
        <v>-8.9215261097421692</v>
      </c>
      <c r="E10" s="199">
        <f>'Detailed Results'!G11</f>
        <v>-14.231057532793837</v>
      </c>
      <c r="N10" s="5" t="s">
        <v>151</v>
      </c>
      <c r="O10" s="5"/>
      <c r="P10" s="129">
        <f t="shared" ref="P10:R11" si="3">+C10-C39</f>
        <v>-0.21887492157745214</v>
      </c>
      <c r="Q10" s="129">
        <f t="shared" si="3"/>
        <v>-3.7236535973175222E-2</v>
      </c>
      <c r="R10" s="129">
        <f t="shared" si="3"/>
        <v>2.2779973640963789</v>
      </c>
    </row>
    <row r="11" spans="1:18" s="125" customFormat="1" ht="16.5" thickTop="1" thickBot="1" x14ac:dyDescent="0.3">
      <c r="A11" s="8" t="s">
        <v>152</v>
      </c>
      <c r="B11" s="8"/>
      <c r="C11" s="200">
        <f>'Detailed Results'!E28</f>
        <v>-2.4866726565454398</v>
      </c>
      <c r="D11" s="200">
        <f>'Detailed Results'!F28</f>
        <v>-7.7713929179509487</v>
      </c>
      <c r="E11" s="200">
        <f>'Detailed Results'!G28</f>
        <v>-18.784995943287868</v>
      </c>
      <c r="N11" s="8" t="s">
        <v>152</v>
      </c>
      <c r="O11" s="8"/>
      <c r="P11" s="130">
        <f t="shared" si="3"/>
        <v>-0.26666033045127602</v>
      </c>
      <c r="Q11" s="130">
        <f t="shared" si="3"/>
        <v>-0.48509373818880785</v>
      </c>
      <c r="R11" s="130">
        <f t="shared" si="3"/>
        <v>1.7962924948352708</v>
      </c>
    </row>
    <row r="12" spans="1:18" s="125" customFormat="1" ht="15.75" thickBot="1" x14ac:dyDescent="0.3">
      <c r="A12" s="7" t="s">
        <v>174</v>
      </c>
      <c r="B12" s="71"/>
      <c r="C12" s="201">
        <f>SUM(C$10:C$11)</f>
        <v>-7.5468355591435827</v>
      </c>
      <c r="D12" s="201">
        <f t="shared" ref="D12:E12" si="4">SUM(D$10:D$11)</f>
        <v>-16.692919027693119</v>
      </c>
      <c r="E12" s="201">
        <f t="shared" si="4"/>
        <v>-33.016053476081709</v>
      </c>
      <c r="N12" s="7" t="s">
        <v>174</v>
      </c>
      <c r="O12" s="71"/>
      <c r="P12" s="134">
        <f>SUM(P$10:P$11)</f>
        <v>-0.48553525202872816</v>
      </c>
      <c r="Q12" s="134">
        <f t="shared" ref="Q12:R12" si="5">SUM(Q$10:Q$11)</f>
        <v>-0.52233027416198308</v>
      </c>
      <c r="R12" s="134">
        <f t="shared" si="5"/>
        <v>4.0742898589316496</v>
      </c>
    </row>
    <row r="13" spans="1:18" s="125" customFormat="1" ht="15.75" thickBot="1" x14ac:dyDescent="0.3">
      <c r="A13" s="7"/>
      <c r="B13" s="7"/>
      <c r="C13" s="135"/>
      <c r="D13" s="135"/>
      <c r="E13" s="135"/>
      <c r="N13" s="7"/>
      <c r="O13" s="7"/>
      <c r="P13" s="135"/>
      <c r="Q13" s="135"/>
      <c r="R13" s="135"/>
    </row>
    <row r="14" spans="1:18" s="125" customFormat="1" ht="15.75" thickBot="1" x14ac:dyDescent="0.3">
      <c r="A14" s="4" t="s">
        <v>149</v>
      </c>
      <c r="B14" s="5"/>
      <c r="C14" s="6"/>
      <c r="D14" s="6"/>
      <c r="E14" s="6"/>
      <c r="N14" s="4" t="s">
        <v>149</v>
      </c>
      <c r="O14" s="5"/>
      <c r="P14" s="6"/>
      <c r="Q14" s="6"/>
      <c r="R14" s="6"/>
    </row>
    <row r="15" spans="1:18" s="125" customFormat="1" ht="15.75" thickBot="1" x14ac:dyDescent="0.3">
      <c r="A15" s="7" t="s">
        <v>42</v>
      </c>
      <c r="B15" s="7"/>
      <c r="C15" s="202">
        <f>'Detailed Results'!E$48</f>
        <v>-10.835048010973937</v>
      </c>
      <c r="D15" s="202">
        <f>'Detailed Results'!F$48</f>
        <v>-10.186009255962976</v>
      </c>
      <c r="E15" s="202">
        <f>'Detailed Results'!G$48</f>
        <v>-9.4785502958579855</v>
      </c>
      <c r="N15" s="7" t="s">
        <v>42</v>
      </c>
      <c r="O15" s="7"/>
      <c r="P15" s="71">
        <f t="shared" ref="P15:R17" si="6">+C15-C44</f>
        <v>-1.2071330589849119</v>
      </c>
      <c r="Q15" s="71">
        <f t="shared" si="6"/>
        <v>-2.1337664649341406</v>
      </c>
      <c r="R15" s="71">
        <f t="shared" si="6"/>
        <v>-2.3640902366863887</v>
      </c>
    </row>
    <row r="16" spans="1:18" s="125" customFormat="1" ht="16.5" thickTop="1" thickBot="1" x14ac:dyDescent="0.3">
      <c r="A16" s="8" t="s">
        <v>232</v>
      </c>
      <c r="B16" s="8"/>
      <c r="C16" s="203">
        <f>'Detailed Results'!E$51+'Detailed Results'!E$54</f>
        <v>-0.55656453440902709</v>
      </c>
      <c r="D16" s="203">
        <f>'Detailed Results'!F$51+'Detailed Results'!F$54</f>
        <v>0.51864445416338012</v>
      </c>
      <c r="E16" s="203">
        <f>'Detailed Results'!G$51+'Detailed Results'!G$54</f>
        <v>1.807012073407174</v>
      </c>
      <c r="N16" s="8" t="s">
        <v>48</v>
      </c>
      <c r="O16" s="8"/>
      <c r="P16" s="177">
        <f t="shared" si="6"/>
        <v>-0.16127348976071931</v>
      </c>
      <c r="Q16" s="177">
        <f t="shared" si="6"/>
        <v>6.8975461135616367E-2</v>
      </c>
      <c r="R16" s="177">
        <f t="shared" si="6"/>
        <v>0.32356541736314504</v>
      </c>
    </row>
    <row r="17" spans="1:18" s="125" customFormat="1" ht="15.75" thickBot="1" x14ac:dyDescent="0.3">
      <c r="A17" s="7" t="s">
        <v>18</v>
      </c>
      <c r="B17" s="7"/>
      <c r="C17" s="204">
        <f>'Detailed Results'!E$57</f>
        <v>-4.6210562414266123</v>
      </c>
      <c r="D17" s="204">
        <f>'Detailed Results'!F$57</f>
        <v>-2.3985404058383768</v>
      </c>
      <c r="E17" s="204">
        <f>'Detailed Results'!G$57</f>
        <v>0</v>
      </c>
      <c r="F17"/>
      <c r="N17" s="7" t="s">
        <v>18</v>
      </c>
      <c r="O17" s="7"/>
      <c r="P17" s="71">
        <f t="shared" si="6"/>
        <v>-4.6210562414266123</v>
      </c>
      <c r="Q17" s="71">
        <f t="shared" si="6"/>
        <v>-2.3985404058383768</v>
      </c>
      <c r="R17" s="71">
        <f t="shared" si="6"/>
        <v>0</v>
      </c>
    </row>
    <row r="18" spans="1:18" s="125" customFormat="1" ht="16.5" thickTop="1" thickBot="1" x14ac:dyDescent="0.3">
      <c r="A18" s="8" t="s">
        <v>41</v>
      </c>
      <c r="B18" s="8"/>
      <c r="C18" s="205">
        <f>SUM(C$15:C$17)</f>
        <v>-16.012668786809577</v>
      </c>
      <c r="D18" s="205">
        <f t="shared" ref="D18:E18" si="7">SUM(D$15:D$17)</f>
        <v>-12.065905207637972</v>
      </c>
      <c r="E18" s="205">
        <f t="shared" si="7"/>
        <v>-7.6715382224508115</v>
      </c>
      <c r="N18" s="8" t="s">
        <v>41</v>
      </c>
      <c r="O18" s="8"/>
      <c r="P18" s="178">
        <f>SUM(P$15:P$17)</f>
        <v>-5.9894627901722437</v>
      </c>
      <c r="Q18" s="178">
        <f t="shared" ref="Q18:R18" si="8">SUM(Q$15:Q$17)</f>
        <v>-4.4633314096369006</v>
      </c>
      <c r="R18" s="178">
        <f t="shared" si="8"/>
        <v>-2.0405248193232435</v>
      </c>
    </row>
    <row r="19" spans="1:18" ht="15.75" thickBot="1" x14ac:dyDescent="0.3">
      <c r="A19" s="1"/>
      <c r="B19" s="1"/>
      <c r="C19" s="207"/>
      <c r="D19" s="207"/>
      <c r="E19" s="207"/>
      <c r="N19" s="1"/>
      <c r="O19" s="1"/>
      <c r="P19" s="136"/>
      <c r="Q19" s="136"/>
      <c r="R19" s="136"/>
    </row>
    <row r="20" spans="1:18" ht="15.75" thickBot="1" x14ac:dyDescent="0.3">
      <c r="A20" s="9" t="s">
        <v>43</v>
      </c>
      <c r="B20" s="9"/>
      <c r="C20" s="208">
        <f>+C7+C12+C18</f>
        <v>14.693624385593409</v>
      </c>
      <c r="D20" s="208">
        <f>+D7+D12+D18</f>
        <v>50.406926817252554</v>
      </c>
      <c r="E20" s="208">
        <f>+E7+E12+E18</f>
        <v>94.768957003968751</v>
      </c>
      <c r="N20" s="9" t="s">
        <v>43</v>
      </c>
      <c r="O20" s="9"/>
      <c r="P20" s="179">
        <f>+P7+P12+P18</f>
        <v>-3.8313051034617009</v>
      </c>
      <c r="Q20" s="179">
        <f>+Q7+Q12+Q18</f>
        <v>-2.7370263836656035</v>
      </c>
      <c r="R20" s="179">
        <f>+R7+R12+R18</f>
        <v>-19.09198920092674</v>
      </c>
    </row>
    <row r="21" spans="1:18" ht="15.75" thickBot="1" x14ac:dyDescent="0.3">
      <c r="A21" s="9" t="s">
        <v>156</v>
      </c>
      <c r="B21" s="9"/>
      <c r="C21" s="190">
        <f>C7/-(C10+C11+C18)</f>
        <v>1.6236813886161976</v>
      </c>
      <c r="D21" s="193">
        <f t="shared" ref="D21:E21" si="9">D7/-(D10+D11+D18)</f>
        <v>2.7527464407020545</v>
      </c>
      <c r="E21" s="193">
        <f t="shared" si="9"/>
        <v>3.3291857062011063</v>
      </c>
      <c r="N21" s="9" t="s">
        <v>156</v>
      </c>
      <c r="O21" s="9"/>
      <c r="P21" s="138"/>
      <c r="Q21" s="138"/>
      <c r="R21" s="138"/>
    </row>
    <row r="22" spans="1:18" x14ac:dyDescent="0.25">
      <c r="A22" s="1"/>
      <c r="B22" s="1"/>
      <c r="C22" s="124"/>
      <c r="D22" s="124"/>
      <c r="E22" s="124"/>
      <c r="N22" s="2"/>
      <c r="O22" s="2"/>
      <c r="P22" s="3"/>
      <c r="Q22" s="3"/>
      <c r="R22" s="3"/>
    </row>
    <row r="23" spans="1:18" ht="15.75" thickBot="1" x14ac:dyDescent="0.3">
      <c r="A23" s="1" t="s">
        <v>185</v>
      </c>
      <c r="B23" s="1"/>
      <c r="C23" s="1"/>
      <c r="D23" s="1"/>
      <c r="E23" s="1"/>
      <c r="N23" s="4" t="s">
        <v>44</v>
      </c>
      <c r="O23" s="5"/>
      <c r="P23" s="6"/>
      <c r="Q23" s="6"/>
      <c r="R23" s="6"/>
    </row>
    <row r="28" spans="1:18" x14ac:dyDescent="0.25">
      <c r="C28" s="157"/>
      <c r="D28" s="157"/>
      <c r="E28" s="157"/>
    </row>
    <row r="30" spans="1:18" ht="15.75" thickBot="1" x14ac:dyDescent="0.3">
      <c r="A30" t="s">
        <v>179</v>
      </c>
    </row>
    <row r="31" spans="1:18" ht="25.5" x14ac:dyDescent="0.25">
      <c r="A31" s="2" t="s">
        <v>24</v>
      </c>
      <c r="B31" s="2"/>
      <c r="C31" s="180" t="s">
        <v>16</v>
      </c>
      <c r="D31" s="180" t="s">
        <v>8</v>
      </c>
      <c r="E31" s="180" t="s">
        <v>17</v>
      </c>
    </row>
    <row r="32" spans="1:18" ht="15.75" thickBot="1" x14ac:dyDescent="0.3">
      <c r="A32" s="4" t="s">
        <v>150</v>
      </c>
      <c r="B32" s="5"/>
      <c r="C32" s="6"/>
      <c r="D32" s="6"/>
      <c r="E32" s="6"/>
    </row>
    <row r="33" spans="1:5" ht="15.75" thickBot="1" x14ac:dyDescent="0.3">
      <c r="A33" s="7" t="s">
        <v>173</v>
      </c>
      <c r="B33" s="7"/>
      <c r="C33" s="129">
        <v>27.931134406265219</v>
      </c>
      <c r="D33" s="129">
        <v>47.776071074146827</v>
      </c>
      <c r="E33" s="129">
        <v>84.747976135944981</v>
      </c>
    </row>
    <row r="34" spans="1:5" ht="16.5" thickTop="1" thickBot="1" x14ac:dyDescent="0.3">
      <c r="A34" s="8" t="s">
        <v>117</v>
      </c>
      <c r="B34" s="8"/>
      <c r="C34" s="130">
        <v>7.6783013865420777</v>
      </c>
      <c r="D34" s="130">
        <v>21.448033799324033</v>
      </c>
      <c r="E34" s="130">
        <v>52.826238458072353</v>
      </c>
    </row>
    <row r="35" spans="1:5" ht="15.75" thickBot="1" x14ac:dyDescent="0.3">
      <c r="A35" s="7" t="s">
        <v>21</v>
      </c>
      <c r="B35" s="7"/>
      <c r="C35" s="131">
        <v>0</v>
      </c>
      <c r="D35" s="131">
        <v>7.6930108789795106</v>
      </c>
      <c r="E35" s="131">
        <v>19.008088349019076</v>
      </c>
    </row>
    <row r="36" spans="1:5" ht="16.5" thickTop="1" thickBot="1" x14ac:dyDescent="0.3">
      <c r="A36" s="8" t="s">
        <v>148</v>
      </c>
      <c r="B36" s="8"/>
      <c r="C36" s="132">
        <v>35.609435792807297</v>
      </c>
      <c r="D36" s="132">
        <v>76.917115752450371</v>
      </c>
      <c r="E36" s="132">
        <v>156.58230294303644</v>
      </c>
    </row>
    <row r="37" spans="1:5" ht="15.75" thickBot="1" x14ac:dyDescent="0.3">
      <c r="A37" s="7"/>
      <c r="B37" s="7"/>
      <c r="C37" s="129"/>
      <c r="D37" s="129"/>
      <c r="E37" s="129"/>
    </row>
    <row r="38" spans="1:5" ht="15.75" thickBot="1" x14ac:dyDescent="0.3">
      <c r="A38" s="4" t="s">
        <v>160</v>
      </c>
      <c r="B38" s="5"/>
      <c r="C38" s="6"/>
      <c r="D38" s="6"/>
      <c r="E38" s="6"/>
    </row>
    <row r="39" spans="1:5" ht="15.75" thickBot="1" x14ac:dyDescent="0.3">
      <c r="A39" s="5" t="s">
        <v>151</v>
      </c>
      <c r="B39" s="5"/>
      <c r="C39" s="6">
        <v>-4.8412879810206908</v>
      </c>
      <c r="D39" s="6">
        <v>-8.884289573768994</v>
      </c>
      <c r="E39" s="6">
        <v>-16.509054896890216</v>
      </c>
    </row>
    <row r="40" spans="1:5" ht="16.5" thickTop="1" thickBot="1" x14ac:dyDescent="0.3">
      <c r="A40" s="8" t="s">
        <v>152</v>
      </c>
      <c r="B40" s="8"/>
      <c r="C40" s="133">
        <v>-2.2200123260941638</v>
      </c>
      <c r="D40" s="133">
        <v>-7.2862991797621408</v>
      </c>
      <c r="E40" s="133">
        <v>-20.581288438123138</v>
      </c>
    </row>
    <row r="41" spans="1:5" ht="15.75" thickBot="1" x14ac:dyDescent="0.3">
      <c r="A41" s="7" t="s">
        <v>174</v>
      </c>
      <c r="B41" s="71"/>
      <c r="C41" s="134">
        <v>-7.0613003071148546</v>
      </c>
      <c r="D41" s="134">
        <v>-16.170588753531135</v>
      </c>
      <c r="E41" s="134">
        <v>-37.090343335013358</v>
      </c>
    </row>
    <row r="42" spans="1:5" ht="15.75" thickBot="1" x14ac:dyDescent="0.3">
      <c r="A42" s="7"/>
      <c r="B42" s="7"/>
      <c r="C42" s="135"/>
      <c r="D42" s="135"/>
      <c r="E42" s="135"/>
    </row>
    <row r="43" spans="1:5" ht="15.75" thickBot="1" x14ac:dyDescent="0.3">
      <c r="A43" s="4" t="s">
        <v>149</v>
      </c>
      <c r="B43" s="5"/>
      <c r="C43" s="6"/>
      <c r="D43" s="6"/>
      <c r="E43" s="6"/>
    </row>
    <row r="44" spans="1:5" ht="15.75" thickBot="1" x14ac:dyDescent="0.3">
      <c r="A44" s="7" t="s">
        <v>42</v>
      </c>
      <c r="B44" s="7"/>
      <c r="C44" s="129">
        <v>-9.627914951989025</v>
      </c>
      <c r="D44" s="129">
        <v>-8.052242791028835</v>
      </c>
      <c r="E44" s="129">
        <v>-7.1144600591715967</v>
      </c>
    </row>
    <row r="45" spans="1:5" ht="16.5" thickTop="1" thickBot="1" x14ac:dyDescent="0.3">
      <c r="A45" s="8" t="s">
        <v>48</v>
      </c>
      <c r="B45" s="8"/>
      <c r="C45" s="206">
        <v>-0.39529104464830778</v>
      </c>
      <c r="D45" s="206">
        <v>0.44966899302776375</v>
      </c>
      <c r="E45" s="206">
        <v>1.4834466560440289</v>
      </c>
    </row>
    <row r="46" spans="1:5" ht="15.75" thickBot="1" x14ac:dyDescent="0.3">
      <c r="A46" s="7" t="s">
        <v>18</v>
      </c>
      <c r="B46" s="7"/>
      <c r="C46" s="131">
        <v>0</v>
      </c>
      <c r="D46" s="131">
        <v>0</v>
      </c>
      <c r="E46" s="131">
        <v>0</v>
      </c>
    </row>
    <row r="47" spans="1:5" ht="16.5" thickTop="1" thickBot="1" x14ac:dyDescent="0.3">
      <c r="A47" s="8" t="s">
        <v>41</v>
      </c>
      <c r="B47" s="8"/>
      <c r="C47" s="132">
        <v>-10.023205996637333</v>
      </c>
      <c r="D47" s="132">
        <v>-7.602573798001071</v>
      </c>
      <c r="E47" s="132">
        <v>-5.631013403127568</v>
      </c>
    </row>
    <row r="48" spans="1:5" ht="15.75" thickBot="1" x14ac:dyDescent="0.3">
      <c r="A48" s="1"/>
      <c r="B48" s="1"/>
      <c r="C48" s="136"/>
      <c r="D48" s="136"/>
      <c r="E48" s="136"/>
    </row>
    <row r="49" spans="1:5" ht="15.75" thickBot="1" x14ac:dyDescent="0.3">
      <c r="A49" s="9" t="s">
        <v>43</v>
      </c>
      <c r="B49" s="9"/>
      <c r="C49" s="137">
        <v>18.524929489055108</v>
      </c>
      <c r="D49" s="137">
        <v>53.143953200918162</v>
      </c>
      <c r="E49" s="137">
        <v>113.86094620489551</v>
      </c>
    </row>
    <row r="50" spans="1:5" ht="15.75" thickBot="1" x14ac:dyDescent="0.3">
      <c r="A50" s="9" t="s">
        <v>156</v>
      </c>
      <c r="B50" s="9"/>
      <c r="C50" s="138">
        <v>2.0843116657685665</v>
      </c>
      <c r="D50" s="138">
        <v>3.2354599681771403</v>
      </c>
      <c r="E50" s="138">
        <v>3.665199677594563</v>
      </c>
    </row>
    <row r="51" spans="1:5" x14ac:dyDescent="0.25">
      <c r="A51" s="2"/>
      <c r="B51" s="2"/>
      <c r="C51" s="3"/>
      <c r="D51" s="3"/>
      <c r="E51" s="3"/>
    </row>
    <row r="52" spans="1:5" ht="15.75" thickBot="1" x14ac:dyDescent="0.3">
      <c r="A52" s="4" t="s">
        <v>44</v>
      </c>
      <c r="B52" s="5"/>
      <c r="C52" s="6"/>
      <c r="D52" s="6"/>
      <c r="E52" s="6"/>
    </row>
    <row r="53" spans="1:5" x14ac:dyDescent="0.25">
      <c r="C53" s="176"/>
      <c r="D53" s="176"/>
      <c r="E53" s="176"/>
    </row>
  </sheetData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Readme</vt:lpstr>
      <vt:lpstr>Assumptions</vt:lpstr>
      <vt:lpstr>CPI</vt:lpstr>
      <vt:lpstr>Timing calculations</vt:lpstr>
      <vt:lpstr>Detailed Results</vt:lpstr>
      <vt:lpstr>Results Table</vt:lpstr>
      <vt:lpstr>DiscountRate</vt:lpstr>
      <vt:lpstr>EvaluationPeriod</vt:lpstr>
      <vt:lpstr>'Detailed Results'!Print_Area</vt:lpstr>
      <vt:lpstr>results</vt:lpstr>
      <vt:lpstr>scenarios</vt:lpstr>
      <vt:lpstr>YearsToImplement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Hunt</dc:creator>
  <cp:lastModifiedBy>DW</cp:lastModifiedBy>
  <cp:lastPrinted>2018-11-18T23:43:15Z</cp:lastPrinted>
  <dcterms:created xsi:type="dcterms:W3CDTF">2015-11-17T01:57:43Z</dcterms:created>
  <dcterms:modified xsi:type="dcterms:W3CDTF">2018-11-22T03:46:46Z</dcterms:modified>
</cp:coreProperties>
</file>