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670"/>
  </bookViews>
  <sheets>
    <sheet name="RCPD - UNI and USI" sheetId="1" r:id="rId1"/>
    <sheet name="RCPD - LNI and LSI" sheetId="2" r:id="rId2"/>
    <sheet name="Tiwai in summer" sheetId="4" r:id="rId3"/>
    <sheet name="TPAG estimate validation" sheetId="5" r:id="rId4"/>
    <sheet name="Vector Aurora RCPD charges" sheetId="6" r:id="rId5"/>
    <sheet name="Consumption reduction - DWL" sheetId="7" r:id="rId6"/>
    <sheet name="DWL with Ramsey pricing" sheetId="8" r:id="rId7"/>
  </sheets>
  <calcPr calcId="145621"/>
</workbook>
</file>

<file path=xl/calcChain.xml><?xml version="1.0" encoding="utf-8"?>
<calcChain xmlns="http://schemas.openxmlformats.org/spreadsheetml/2006/main">
  <c r="M19" i="8" l="1"/>
  <c r="L19" i="8"/>
  <c r="L28" i="8" s="1"/>
  <c r="K19" i="8"/>
  <c r="K28" i="8" s="1"/>
  <c r="J19" i="8"/>
  <c r="J28" i="8" s="1"/>
  <c r="I19" i="8"/>
  <c r="I28" i="8" s="1"/>
  <c r="H19" i="8"/>
  <c r="G19" i="8"/>
  <c r="F19" i="8"/>
  <c r="E19" i="8"/>
  <c r="D19" i="8"/>
  <c r="D28" i="8" s="1"/>
  <c r="C19" i="8"/>
  <c r="C28" i="8" s="1"/>
  <c r="B19" i="8"/>
  <c r="B28" i="8" s="1"/>
  <c r="M18" i="8"/>
  <c r="M28" i="8" s="1"/>
  <c r="L18" i="8"/>
  <c r="K18" i="8"/>
  <c r="J18" i="8"/>
  <c r="I18" i="8"/>
  <c r="H18" i="8"/>
  <c r="H28" i="8" s="1"/>
  <c r="G18" i="8"/>
  <c r="G28" i="8" s="1"/>
  <c r="F18" i="8"/>
  <c r="F28" i="8" s="1"/>
  <c r="E18" i="8"/>
  <c r="E28" i="8" s="1"/>
  <c r="D18" i="8"/>
  <c r="C18" i="8"/>
  <c r="B18" i="8"/>
  <c r="M15" i="8"/>
  <c r="L15" i="8"/>
  <c r="L6" i="8" s="1"/>
  <c r="K15" i="8"/>
  <c r="K6" i="8" s="1"/>
  <c r="J15" i="8"/>
  <c r="J6" i="8" s="1"/>
  <c r="I15" i="8"/>
  <c r="I6" i="8" s="1"/>
  <c r="H15" i="8"/>
  <c r="G15" i="8"/>
  <c r="F15" i="8"/>
  <c r="E15" i="8"/>
  <c r="D15" i="8"/>
  <c r="D6" i="8" s="1"/>
  <c r="C15" i="8"/>
  <c r="C6" i="8" s="1"/>
  <c r="B15" i="8"/>
  <c r="B6" i="8" s="1"/>
  <c r="M7" i="8"/>
  <c r="L7" i="8"/>
  <c r="K7" i="8"/>
  <c r="J7" i="8"/>
  <c r="I7" i="8"/>
  <c r="H7" i="8"/>
  <c r="G7" i="8"/>
  <c r="F7" i="8"/>
  <c r="E7" i="8"/>
  <c r="D7" i="8"/>
  <c r="C7" i="8"/>
  <c r="B7" i="8"/>
  <c r="M6" i="8"/>
  <c r="H6" i="8"/>
  <c r="G6" i="8"/>
  <c r="F6" i="8"/>
  <c r="E6" i="8"/>
  <c r="M5" i="8"/>
  <c r="L5" i="8"/>
  <c r="K5" i="8"/>
  <c r="J5" i="8"/>
  <c r="I5" i="8"/>
  <c r="H5" i="8"/>
  <c r="G5" i="8"/>
  <c r="F5" i="8"/>
  <c r="E5" i="8"/>
  <c r="D5" i="8"/>
  <c r="C5" i="8"/>
  <c r="B5" i="8"/>
  <c r="M20" i="7"/>
  <c r="L20" i="7"/>
  <c r="K20" i="7"/>
  <c r="J20" i="7"/>
  <c r="I20" i="7"/>
  <c r="H20" i="7"/>
  <c r="G20" i="7"/>
  <c r="F20" i="7"/>
  <c r="E20" i="7"/>
  <c r="D20" i="7"/>
  <c r="C20" i="7"/>
  <c r="B20" i="7"/>
  <c r="L19" i="7"/>
  <c r="K19" i="7"/>
  <c r="J19" i="7"/>
  <c r="I19" i="7"/>
  <c r="D19" i="7"/>
  <c r="C19" i="7"/>
  <c r="B19" i="7"/>
  <c r="M18" i="7"/>
  <c r="L18" i="7"/>
  <c r="L23" i="7" s="1"/>
  <c r="K18" i="7"/>
  <c r="K23" i="7" s="1"/>
  <c r="J18" i="7"/>
  <c r="J23" i="7" s="1"/>
  <c r="I18" i="7"/>
  <c r="H18" i="7"/>
  <c r="G18" i="7"/>
  <c r="F18" i="7"/>
  <c r="E18" i="7"/>
  <c r="D18" i="7"/>
  <c r="D23" i="7" s="1"/>
  <c r="C18" i="7"/>
  <c r="C23" i="7" s="1"/>
  <c r="B18" i="7"/>
  <c r="B23" i="7" s="1"/>
  <c r="M14" i="7"/>
  <c r="L14" i="7"/>
  <c r="K14" i="7"/>
  <c r="J14" i="7"/>
  <c r="I14" i="7"/>
  <c r="H14" i="7"/>
  <c r="G14" i="7"/>
  <c r="F14" i="7"/>
  <c r="M13" i="7"/>
  <c r="M21" i="7" s="1"/>
  <c r="L13" i="7"/>
  <c r="L21" i="7" s="1"/>
  <c r="K13" i="7"/>
  <c r="K21" i="7" s="1"/>
  <c r="J13" i="7"/>
  <c r="J21" i="7" s="1"/>
  <c r="I13" i="7"/>
  <c r="I21" i="7" s="1"/>
  <c r="H13" i="7"/>
  <c r="H21" i="7" s="1"/>
  <c r="G13" i="7"/>
  <c r="G21" i="7" s="1"/>
  <c r="F13" i="7"/>
  <c r="F21" i="7" s="1"/>
  <c r="E13" i="7"/>
  <c r="E21" i="7" s="1"/>
  <c r="D13" i="7"/>
  <c r="D21" i="7" s="1"/>
  <c r="C13" i="7"/>
  <c r="C21" i="7" s="1"/>
  <c r="B13" i="7"/>
  <c r="B21" i="7" s="1"/>
  <c r="M10" i="7"/>
  <c r="M19" i="7" s="1"/>
  <c r="L10" i="7"/>
  <c r="K10" i="7"/>
  <c r="J10" i="7"/>
  <c r="I10" i="7"/>
  <c r="H10" i="7"/>
  <c r="H19" i="7" s="1"/>
  <c r="G10" i="7"/>
  <c r="G19" i="7" s="1"/>
  <c r="F10" i="7"/>
  <c r="F19" i="7" s="1"/>
  <c r="E10" i="7"/>
  <c r="E19" i="7" s="1"/>
  <c r="D10" i="7"/>
  <c r="C10" i="7"/>
  <c r="B10" i="7"/>
  <c r="C12" i="8" l="1"/>
  <c r="C22" i="8"/>
  <c r="C27" i="8" s="1"/>
  <c r="E23" i="7"/>
  <c r="E21" i="8"/>
  <c r="E26" i="8" s="1"/>
  <c r="F23" i="7"/>
  <c r="F21" i="8"/>
  <c r="F26" i="8" s="1"/>
  <c r="F22" i="8"/>
  <c r="F27" i="8" s="1"/>
  <c r="G23" i="7"/>
  <c r="C21" i="8"/>
  <c r="C26" i="8" s="1"/>
  <c r="K21" i="8"/>
  <c r="K26" i="8" s="1"/>
  <c r="K12" i="8"/>
  <c r="K22" i="8"/>
  <c r="K27" i="8" s="1"/>
  <c r="M23" i="7"/>
  <c r="H23" i="7"/>
  <c r="I8" i="8"/>
  <c r="I21" i="8" s="1"/>
  <c r="I26" i="8" s="1"/>
  <c r="H21" i="8"/>
  <c r="H26" i="8" s="1"/>
  <c r="H22" i="8"/>
  <c r="H27" i="8" s="1"/>
  <c r="D21" i="8"/>
  <c r="D26" i="8" s="1"/>
  <c r="I23" i="7"/>
  <c r="B12" i="8"/>
  <c r="F8" i="8"/>
  <c r="F12" i="8" s="1"/>
  <c r="H8" i="8"/>
  <c r="H12" i="8" s="1"/>
  <c r="I12" i="8"/>
  <c r="B8" i="8"/>
  <c r="B21" i="8" s="1"/>
  <c r="B26" i="8" s="1"/>
  <c r="J8" i="8"/>
  <c r="J12" i="8" s="1"/>
  <c r="E8" i="8"/>
  <c r="E12" i="8" s="1"/>
  <c r="G8" i="8"/>
  <c r="G12" i="8" s="1"/>
  <c r="C8" i="8"/>
  <c r="K8" i="8"/>
  <c r="M8" i="8"/>
  <c r="M12" i="8" s="1"/>
  <c r="D8" i="8"/>
  <c r="D12" i="8" s="1"/>
  <c r="L8" i="8"/>
  <c r="L21" i="8" s="1"/>
  <c r="L26" i="8" s="1"/>
  <c r="J25" i="8" l="1"/>
  <c r="J30" i="8" s="1"/>
  <c r="J31" i="8" s="1"/>
  <c r="J11" i="8"/>
  <c r="D11" i="8"/>
  <c r="D25" i="8" s="1"/>
  <c r="D30" i="8" s="1"/>
  <c r="D31" i="8" s="1"/>
  <c r="J21" i="8"/>
  <c r="J26" i="8" s="1"/>
  <c r="L12" i="8"/>
  <c r="I11" i="8"/>
  <c r="I25" i="8" s="1"/>
  <c r="I30" i="8" s="1"/>
  <c r="I31" i="8" s="1"/>
  <c r="K25" i="8"/>
  <c r="K30" i="8" s="1"/>
  <c r="K31" i="8" s="1"/>
  <c r="K11" i="8"/>
  <c r="D22" i="8"/>
  <c r="D27" i="8" s="1"/>
  <c r="H11" i="8"/>
  <c r="H25" i="8"/>
  <c r="H30" i="8" s="1"/>
  <c r="F11" i="8"/>
  <c r="F25" i="8" s="1"/>
  <c r="F30" i="8" s="1"/>
  <c r="F31" i="8" s="1"/>
  <c r="H31" i="8"/>
  <c r="I22" i="8"/>
  <c r="I27" i="8" s="1"/>
  <c r="B22" i="8"/>
  <c r="B27" i="8" s="1"/>
  <c r="G22" i="8"/>
  <c r="G27" i="8" s="1"/>
  <c r="J22" i="8"/>
  <c r="J27" i="8" s="1"/>
  <c r="B11" i="8"/>
  <c r="B25" i="8"/>
  <c r="B30" i="8" s="1"/>
  <c r="B31" i="8" s="1"/>
  <c r="M11" i="8"/>
  <c r="M25" i="8" s="1"/>
  <c r="M30" i="8" s="1"/>
  <c r="M31" i="8" s="1"/>
  <c r="G11" i="8"/>
  <c r="G25" i="8"/>
  <c r="M21" i="8"/>
  <c r="M26" i="8" s="1"/>
  <c r="L22" i="8"/>
  <c r="L27" i="8" s="1"/>
  <c r="G21" i="8"/>
  <c r="G26" i="8" s="1"/>
  <c r="M22" i="8"/>
  <c r="M27" i="8" s="1"/>
  <c r="C11" i="8"/>
  <c r="C25" i="8" s="1"/>
  <c r="C30" i="8" s="1"/>
  <c r="C31" i="8" s="1"/>
  <c r="E11" i="8"/>
  <c r="E25" i="8"/>
  <c r="E22" i="8"/>
  <c r="E27" i="8" s="1"/>
  <c r="E30" i="8" l="1"/>
  <c r="E31" i="8" s="1"/>
  <c r="G30" i="8"/>
  <c r="G31" i="8" s="1"/>
  <c r="L11" i="8"/>
  <c r="L25" i="8" s="1"/>
  <c r="L30" i="8" s="1"/>
  <c r="L31" i="8" s="1"/>
  <c r="G12" i="6" l="1"/>
  <c r="F12" i="6"/>
  <c r="E12" i="6"/>
  <c r="D12" i="6"/>
  <c r="C12" i="6"/>
  <c r="G11" i="6"/>
  <c r="F11" i="6"/>
  <c r="E11" i="6"/>
  <c r="D11" i="6"/>
  <c r="C11" i="6"/>
  <c r="F48" i="5" l="1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C12" i="5"/>
  <c r="C13" i="5" s="1"/>
  <c r="C11" i="5"/>
  <c r="C33" i="5" s="1"/>
  <c r="C10" i="5"/>
  <c r="C32" i="5" s="1"/>
  <c r="B10" i="5"/>
  <c r="B11" i="5" s="1"/>
  <c r="D9" i="5"/>
  <c r="D31" i="5" s="1"/>
  <c r="C9" i="5"/>
  <c r="B9" i="5"/>
  <c r="B31" i="5" s="1"/>
  <c r="B5" i="5"/>
  <c r="C31" i="5" s="1"/>
  <c r="B33" i="5" l="1"/>
  <c r="B12" i="5"/>
  <c r="C35" i="5"/>
  <c r="C14" i="5"/>
  <c r="B32" i="5"/>
  <c r="C34" i="5"/>
  <c r="D10" i="5"/>
  <c r="C15" i="5" l="1"/>
  <c r="C36" i="5"/>
  <c r="B13" i="5"/>
  <c r="B34" i="5"/>
  <c r="D32" i="5"/>
  <c r="D11" i="5"/>
  <c r="D33" i="5" l="1"/>
  <c r="D12" i="5"/>
  <c r="B35" i="5"/>
  <c r="B14" i="5"/>
  <c r="C16" i="5"/>
  <c r="C37" i="5"/>
  <c r="D13" i="5" l="1"/>
  <c r="D34" i="5"/>
  <c r="C38" i="5"/>
  <c r="C17" i="5"/>
  <c r="B15" i="5"/>
  <c r="B36" i="5"/>
  <c r="B16" i="5" l="1"/>
  <c r="B37" i="5"/>
  <c r="C39" i="5"/>
  <c r="C18" i="5"/>
  <c r="D35" i="5"/>
  <c r="D14" i="5"/>
  <c r="C40" i="5" l="1"/>
  <c r="C19" i="5"/>
  <c r="B38" i="5"/>
  <c r="B17" i="5"/>
  <c r="D36" i="5"/>
  <c r="D15" i="5"/>
  <c r="B39" i="5" l="1"/>
  <c r="B18" i="5"/>
  <c r="C41" i="5"/>
  <c r="C20" i="5"/>
  <c r="D37" i="5"/>
  <c r="D16" i="5"/>
  <c r="C21" i="5" l="1"/>
  <c r="C42" i="5"/>
  <c r="B19" i="5"/>
  <c r="B40" i="5"/>
  <c r="D17" i="5"/>
  <c r="D38" i="5"/>
  <c r="D39" i="5" l="1"/>
  <c r="D18" i="5"/>
  <c r="B41" i="5"/>
  <c r="B20" i="5"/>
  <c r="C43" i="5"/>
  <c r="C22" i="5"/>
  <c r="C23" i="5" l="1"/>
  <c r="C44" i="5"/>
  <c r="B21" i="5"/>
  <c r="B42" i="5"/>
  <c r="D40" i="5"/>
  <c r="D19" i="5"/>
  <c r="D41" i="5" l="1"/>
  <c r="D20" i="5"/>
  <c r="B43" i="5"/>
  <c r="B22" i="5"/>
  <c r="C24" i="5"/>
  <c r="C45" i="5"/>
  <c r="D21" i="5" l="1"/>
  <c r="D42" i="5"/>
  <c r="C46" i="5"/>
  <c r="C25" i="5"/>
  <c r="B23" i="5"/>
  <c r="B44" i="5"/>
  <c r="B24" i="5" l="1"/>
  <c r="B45" i="5"/>
  <c r="C47" i="5"/>
  <c r="C26" i="5"/>
  <c r="D43" i="5"/>
  <c r="D22" i="5"/>
  <c r="D23" i="5" l="1"/>
  <c r="D44" i="5"/>
  <c r="C48" i="5"/>
  <c r="C50" i="5" s="1"/>
  <c r="C27" i="5"/>
  <c r="C28" i="5" s="1"/>
  <c r="B46" i="5"/>
  <c r="B25" i="5"/>
  <c r="B47" i="5" l="1"/>
  <c r="B26" i="5"/>
  <c r="D45" i="5"/>
  <c r="D24" i="5"/>
  <c r="D46" i="5" l="1"/>
  <c r="D25" i="5"/>
  <c r="B27" i="5"/>
  <c r="B28" i="5" s="1"/>
  <c r="B48" i="5"/>
  <c r="B50" i="5" s="1"/>
  <c r="D47" i="5" l="1"/>
  <c r="D26" i="5"/>
  <c r="B21" i="4"/>
  <c r="B18" i="4"/>
  <c r="B15" i="4"/>
  <c r="D12" i="4"/>
  <c r="B24" i="4" s="1"/>
  <c r="C12" i="4"/>
  <c r="B12" i="4"/>
  <c r="B7" i="4"/>
  <c r="D48" i="5" l="1"/>
  <c r="D50" i="5" s="1"/>
  <c r="D27" i="5"/>
  <c r="D28" i="5" s="1"/>
  <c r="B19" i="1" l="1"/>
  <c r="B18" i="1"/>
  <c r="B13" i="2"/>
  <c r="B12" i="2"/>
  <c r="E8" i="1"/>
  <c r="E9" i="1" s="1"/>
  <c r="E15" i="1" s="1"/>
  <c r="D8" i="1"/>
  <c r="D9" i="1" s="1"/>
  <c r="C8" i="1"/>
  <c r="C9" i="1" s="1"/>
  <c r="B8" i="1"/>
  <c r="B9" i="1" s="1"/>
  <c r="B15" i="1" s="1"/>
  <c r="E8" i="2"/>
  <c r="D8" i="2"/>
  <c r="C8" i="2"/>
  <c r="B8" i="2"/>
  <c r="B9" i="2" s="1"/>
  <c r="E9" i="2"/>
  <c r="D9" i="2"/>
  <c r="C9" i="2"/>
  <c r="E13" i="1"/>
  <c r="D13" i="1"/>
  <c r="C13" i="1"/>
  <c r="B13" i="1"/>
  <c r="C15" i="1" l="1"/>
  <c r="D15" i="1"/>
</calcChain>
</file>

<file path=xl/comments1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Supplied by Transpower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Based on data from the Authority's Centralised Dataset and EMI systems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Referred to as 'X' in the paper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Referred to as 'Y' in the paper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A1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 Ramsey price</t>
        </r>
      </text>
    </comment>
    <comment ref="A2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 Ramsey price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 Ramsey price</t>
        </r>
      </text>
    </comment>
  </commentList>
</comments>
</file>

<file path=xl/sharedStrings.xml><?xml version="1.0" encoding="utf-8"?>
<sst xmlns="http://schemas.openxmlformats.org/spreadsheetml/2006/main" count="157" uniqueCount="97">
  <si>
    <t>Economic costs and benefits of response to RPCD signals in the UNI and USI</t>
  </si>
  <si>
    <t>Cost of load reduction ($/MWh)</t>
  </si>
  <si>
    <t>Reduction in UNI and USI coincident peaks (%)</t>
  </si>
  <si>
    <t xml:space="preserve">Frequency of load reduction (trading periods per year) </t>
  </si>
  <si>
    <t>Cost ($M per year)</t>
  </si>
  <si>
    <t>Cost ($M PV over 20 years)</t>
  </si>
  <si>
    <t>Deferral benefit ($M PV)</t>
  </si>
  <si>
    <t>Deferral benefit (discounted $M per year of deferral)</t>
  </si>
  <si>
    <t>Years of deferral achieved</t>
  </si>
  <si>
    <t>Net benefit ($M PV)</t>
  </si>
  <si>
    <t>As rounded in paper</t>
  </si>
  <si>
    <t>Economic costs and benefits of response to RPCD signals in the LNI and LSI</t>
  </si>
  <si>
    <t>Reduction in LNI and LSI coincident peaks (%)</t>
  </si>
  <si>
    <t>Average regional coincident peak demand (MW)</t>
  </si>
  <si>
    <t>Best case cost ($M PV)</t>
  </si>
  <si>
    <t>Worst case cost ($M PV)</t>
  </si>
  <si>
    <t>Best case net benefit ($M PV)</t>
  </si>
  <si>
    <t>Worst case net benefit ($M PV)</t>
  </si>
  <si>
    <t>Economics of NZAS increasing its summer production</t>
  </si>
  <si>
    <t>Possible summer electricity consumption (MW)</t>
  </si>
  <si>
    <t>Baseline non-summer electricity consumption (MW)</t>
  </si>
  <si>
    <t>Length of 'summer' (hours)</t>
  </si>
  <si>
    <t>RCPD charging rate ($/kW)</t>
  </si>
  <si>
    <t>Increase in NZAS's interconnection charge ($M/year)</t>
  </si>
  <si>
    <t>Assumed cost of electricity to NZAS in summer ($/MWh)</t>
  </si>
  <si>
    <t>Assumed value of energy to NZAS ($/MWh)</t>
  </si>
  <si>
    <t>Net benefit to NZAS of increasing summer production ($M per year)</t>
  </si>
  <si>
    <t xml:space="preserve">   (setting aside transmission charges)</t>
  </si>
  <si>
    <t>(In all cases, less than the increase in interconnection charge)</t>
  </si>
  <si>
    <t>Lower bound on productive inefficiency</t>
  </si>
  <si>
    <t>Number of summers in which NZAS would not increase consumption</t>
  </si>
  <si>
    <t xml:space="preserve">   as a result of the RCPD charge</t>
  </si>
  <si>
    <t>Productive inefficiency ($M PV)</t>
  </si>
  <si>
    <t>Upper bound on productive inefficiency</t>
  </si>
  <si>
    <t>Validation of TPAG's estimate of the inefficiency caused by discouraging SI grid-connected generation</t>
  </si>
  <si>
    <t>Assumed amount of generation constructed in each year from 2016 (GWh)</t>
  </si>
  <si>
    <t>Assumed effective HVDC charge on SI grid-connected generation ($/MWh)</t>
  </si>
  <si>
    <t>(Effective charge varies between generators, and also depends on LCE rebates)</t>
  </si>
  <si>
    <t>Assumed average cost difference between "marginal options" in NI and best SI alternatives ($/MWh)</t>
  </si>
  <si>
    <t>(From working paper: "Suppose that there are some NI generation options ('marginal options') that are on average $5/MWh less cost-effective than the best available SI alternatives, and will proceed only if there is an HVDC charge")</t>
  </si>
  <si>
    <t>Assumed % of new generation drawn from                    "marginal options" as result of HVDC charge</t>
  </si>
  <si>
    <t>Amount of marginal generation, by year (GWh)</t>
  </si>
  <si>
    <t>Efficiency loss, by year ($M)</t>
  </si>
  <si>
    <t>Discount factor</t>
  </si>
  <si>
    <t>Total efficiency loss over 20 years ($M PV)</t>
  </si>
  <si>
    <t>Rounded figure in paper ($M PV)</t>
  </si>
  <si>
    <t>Year in which RCPD was measured:</t>
  </si>
  <si>
    <t>2008/09</t>
  </si>
  <si>
    <t>2009/10</t>
  </si>
  <si>
    <t>2010/11</t>
  </si>
  <si>
    <t>2011/12</t>
  </si>
  <si>
    <t>2012/13</t>
  </si>
  <si>
    <t>Mean demand over regional coincident peaks (MW)</t>
  </si>
  <si>
    <t>Aurora</t>
  </si>
  <si>
    <t>Vector</t>
  </si>
  <si>
    <t>Calendar year:</t>
  </si>
  <si>
    <t>Total demand, net at GXP (GWh)</t>
  </si>
  <si>
    <t>Year in which interconnection charge is paid:</t>
  </si>
  <si>
    <t>2013/14</t>
  </si>
  <si>
    <t>2014/15</t>
  </si>
  <si>
    <t>Interconnection charge, in fully variabilised terms ($/MWh)</t>
  </si>
  <si>
    <t>Deadweight loss ($M per year) under various scenarios</t>
  </si>
  <si>
    <t>Case</t>
  </si>
  <si>
    <t>Base case</t>
  </si>
  <si>
    <t>Sensitivity 1</t>
  </si>
  <si>
    <t>Sensitivity 2</t>
  </si>
  <si>
    <t>Scenario</t>
  </si>
  <si>
    <t>A</t>
  </si>
  <si>
    <t>B</t>
  </si>
  <si>
    <t>C</t>
  </si>
  <si>
    <t>D</t>
  </si>
  <si>
    <t>Annual consumption of mass-market customers (GWh)</t>
  </si>
  <si>
    <t>Marginal price paid by mass-market customers ($/MWh)</t>
  </si>
  <si>
    <t>Interconnection component of price ($/MWh)</t>
  </si>
  <si>
    <t>Assumed elasticity of mass-market customers</t>
  </si>
  <si>
    <t>Annual consumption of inelastic industrials (GWh)</t>
  </si>
  <si>
    <t>Assumed elasticity of inelastic industrials</t>
  </si>
  <si>
    <t>Annual consumption of elastic industrials (GWh)</t>
  </si>
  <si>
    <t>Assumed elasticity of elastic industrials</t>
  </si>
  <si>
    <t>Annual consumption of other industrials (GWh)</t>
  </si>
  <si>
    <t>Assumed elasticity of other industrials</t>
  </si>
  <si>
    <t>Marginal price paid by industrial customers ($/MWh)</t>
  </si>
  <si>
    <t>Deadweight loss ($M per year) - mass-market</t>
  </si>
  <si>
    <t xml:space="preserve"> - inelastic industrials</t>
  </si>
  <si>
    <t xml:space="preserve"> - elastic industrials</t>
  </si>
  <si>
    <t xml:space="preserve"> - other industrials</t>
  </si>
  <si>
    <t>Total deadweight loss ($M per year)</t>
  </si>
  <si>
    <t>Reduction in deadweight loss ($M per year) that could be achieved under the same scenarios</t>
  </si>
  <si>
    <t>Working 1</t>
  </si>
  <si>
    <t>Working 2</t>
  </si>
  <si>
    <t>Working 3</t>
  </si>
  <si>
    <t>Working 4</t>
  </si>
  <si>
    <t>Marginal price paid by industrials, excl interconnection ($/MWh)</t>
  </si>
  <si>
    <t>Interconnection price paid by industrials ($/MWh) - inelastic</t>
  </si>
  <si>
    <t xml:space="preserve"> - elastic</t>
  </si>
  <si>
    <t xml:space="preserve"> - other</t>
  </si>
  <si>
    <t>Difference from previous sheet ($M 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</si>
</sst>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83">
    <xf numFmtId="0" fontId="0" fillId="0" borderId="0" xfId="0"/>
    <xf numFmtId="0" fontId="1" fillId="0" borderId="0" xfId="0" applyFont="1"/>
    <xf numFmtId="164" fontId="0" fillId="0" borderId="0" xfId="0" applyNumberFormat="1"/>
    <xf numFmtId="2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65" fontId="1" fillId="0" borderId="0" xfId="0" applyNumberFormat="1" applyFont="1"/>
    <xf numFmtId="0" fontId="0" fillId="0" borderId="0" xfId="0" applyAlignment="1">
      <alignment wrapText="1"/>
    </xf>
    <xf numFmtId="9" fontId="0" fillId="0" borderId="0" xfId="0" applyNumberFormat="1"/>
    <xf numFmtId="0" fontId="0" fillId="0" borderId="0" xfId="0" applyAlignment="1">
      <alignment horizontal="left"/>
    </xf>
    <xf numFmtId="166" fontId="0" fillId="0" borderId="0" xfId="0" applyNumberFormat="1"/>
    <xf numFmtId="0" fontId="0" fillId="0" borderId="0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left"/>
    </xf>
    <xf numFmtId="1" fontId="0" fillId="0" borderId="1" xfId="0" applyNumberFormat="1" applyFont="1" applyBorder="1" applyAlignment="1">
      <alignment horizontal="right"/>
    </xf>
    <xf numFmtId="1" fontId="0" fillId="0" borderId="2" xfId="0" applyNumberFormat="1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4" xfId="0" applyBorder="1" applyAlignment="1">
      <alignment wrapText="1"/>
    </xf>
    <xf numFmtId="0" fontId="0" fillId="0" borderId="4" xfId="0" applyFont="1" applyBorder="1" applyAlignment="1">
      <alignment horizontal="left"/>
    </xf>
    <xf numFmtId="1" fontId="0" fillId="0" borderId="4" xfId="0" applyNumberFormat="1" applyFont="1" applyBorder="1" applyAlignment="1">
      <alignment horizontal="right"/>
    </xf>
    <xf numFmtId="1" fontId="0" fillId="0" borderId="5" xfId="0" applyNumberFormat="1" applyFont="1" applyBorder="1" applyAlignment="1">
      <alignment horizontal="right"/>
    </xf>
    <xf numFmtId="1" fontId="0" fillId="0" borderId="6" xfId="0" applyNumberFormat="1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wrapText="1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2" xfId="0" applyNumberFormat="1" applyFont="1" applyBorder="1" applyAlignment="1">
      <alignment horizontal="right" vertical="center"/>
    </xf>
    <xf numFmtId="1" fontId="6" fillId="0" borderId="3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/>
    </xf>
    <xf numFmtId="1" fontId="6" fillId="0" borderId="5" xfId="0" applyNumberFormat="1" applyFont="1" applyBorder="1" applyAlignment="1">
      <alignment horizontal="right" vertical="center"/>
    </xf>
    <xf numFmtId="1" fontId="6" fillId="0" borderId="6" xfId="0" applyNumberFormat="1" applyFont="1" applyBorder="1" applyAlignment="1">
      <alignment horizontal="right" vertical="center"/>
    </xf>
    <xf numFmtId="0" fontId="0" fillId="0" borderId="0" xfId="0" applyBorder="1"/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Font="1" applyBorder="1" applyAlignment="1">
      <alignment horizontal="right" wrapText="1"/>
    </xf>
    <xf numFmtId="0" fontId="0" fillId="0" borderId="7" xfId="0" applyFont="1" applyBorder="1" applyAlignment="1">
      <alignment horizontal="left"/>
    </xf>
    <xf numFmtId="0" fontId="0" fillId="0" borderId="7" xfId="0" applyFont="1" applyBorder="1" applyAlignment="1">
      <alignment horizontal="right"/>
    </xf>
    <xf numFmtId="0" fontId="0" fillId="0" borderId="8" xfId="0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/>
    </xf>
    <xf numFmtId="165" fontId="1" fillId="0" borderId="4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1" fillId="0" borderId="6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10" xfId="0" applyFont="1" applyBorder="1" applyAlignment="1">
      <alignment horizontal="left"/>
    </xf>
    <xf numFmtId="166" fontId="7" fillId="0" borderId="1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7" fillId="0" borderId="11" xfId="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2" fontId="7" fillId="0" borderId="10" xfId="0" applyNumberFormat="1" applyFont="1" applyBorder="1" applyAlignment="1">
      <alignment horizontal="right"/>
    </xf>
    <xf numFmtId="2" fontId="7" fillId="0" borderId="0" xfId="0" applyNumberFormat="1" applyFont="1" applyBorder="1" applyAlignment="1">
      <alignment horizontal="right"/>
    </xf>
    <xf numFmtId="2" fontId="7" fillId="0" borderId="11" xfId="0" applyNumberFormat="1" applyFont="1" applyBorder="1" applyAlignment="1">
      <alignment horizontal="right"/>
    </xf>
    <xf numFmtId="2" fontId="0" fillId="0" borderId="0" xfId="0" applyNumberFormat="1" applyAlignment="1">
      <alignment horizontal="right"/>
    </xf>
    <xf numFmtId="2" fontId="8" fillId="0" borderId="10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2" fontId="8" fillId="0" borderId="11" xfId="0" applyNumberFormat="1" applyFont="1" applyBorder="1" applyAlignment="1">
      <alignment horizontal="right"/>
    </xf>
    <xf numFmtId="2" fontId="1" fillId="0" borderId="0" xfId="0" applyNumberFormat="1" applyFont="1" applyAlignment="1">
      <alignment horizontal="right"/>
    </xf>
    <xf numFmtId="0" fontId="9" fillId="0" borderId="0" xfId="0" applyFont="1"/>
    <xf numFmtId="2" fontId="9" fillId="0" borderId="1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2" fontId="9" fillId="0" borderId="11" xfId="0" applyNumberFormat="1" applyFont="1" applyBorder="1" applyAlignment="1">
      <alignment horizontal="right"/>
    </xf>
    <xf numFmtId="2" fontId="9" fillId="0" borderId="0" xfId="0" applyNumberFormat="1" applyFont="1" applyAlignment="1">
      <alignment horizontal="right"/>
    </xf>
    <xf numFmtId="2" fontId="0" fillId="0" borderId="0" xfId="0" applyNumberFormat="1" applyFont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F18" sqref="F18"/>
    </sheetView>
  </sheetViews>
  <sheetFormatPr defaultRowHeight="15" x14ac:dyDescent="0.25"/>
  <cols>
    <col min="1" max="1" width="50" customWidth="1"/>
  </cols>
  <sheetData>
    <row r="1" spans="1:5" x14ac:dyDescent="0.25">
      <c r="A1" s="1" t="s">
        <v>0</v>
      </c>
    </row>
    <row r="3" spans="1:5" x14ac:dyDescent="0.25">
      <c r="A3" t="s">
        <v>13</v>
      </c>
      <c r="B3">
        <v>4000</v>
      </c>
    </row>
    <row r="5" spans="1:5" x14ac:dyDescent="0.25">
      <c r="A5" t="s">
        <v>3</v>
      </c>
      <c r="B5">
        <v>20</v>
      </c>
      <c r="C5">
        <v>20</v>
      </c>
      <c r="D5">
        <v>50</v>
      </c>
      <c r="E5">
        <v>50</v>
      </c>
    </row>
    <row r="6" spans="1:5" x14ac:dyDescent="0.25">
      <c r="A6" t="s">
        <v>1</v>
      </c>
      <c r="B6">
        <v>150</v>
      </c>
      <c r="C6">
        <v>150</v>
      </c>
      <c r="D6">
        <v>1000</v>
      </c>
      <c r="E6">
        <v>1000</v>
      </c>
    </row>
    <row r="7" spans="1:5" x14ac:dyDescent="0.25">
      <c r="A7" t="s">
        <v>2</v>
      </c>
      <c r="B7" s="2">
        <v>1.4999999999999999E-2</v>
      </c>
      <c r="C7" s="2">
        <v>0.05</v>
      </c>
      <c r="D7" s="2">
        <v>1.4999999999999999E-2</v>
      </c>
      <c r="E7" s="2">
        <v>0.05</v>
      </c>
    </row>
    <row r="8" spans="1:5" x14ac:dyDescent="0.25">
      <c r="A8" t="s">
        <v>4</v>
      </c>
      <c r="B8">
        <f>$B3*B7*B5/2*B6/1000000</f>
        <v>0.09</v>
      </c>
      <c r="C8">
        <f t="shared" ref="C8:E8" si="0">$B3*C7*C5/2*C6/1000000</f>
        <v>0.3</v>
      </c>
      <c r="D8">
        <f t="shared" si="0"/>
        <v>1.5</v>
      </c>
      <c r="E8">
        <f t="shared" si="0"/>
        <v>5</v>
      </c>
    </row>
    <row r="9" spans="1:5" x14ac:dyDescent="0.25">
      <c r="A9" s="1" t="s">
        <v>5</v>
      </c>
      <c r="B9" s="3">
        <f>10.6*B8</f>
        <v>0.95399999999999996</v>
      </c>
      <c r="C9" s="3">
        <f t="shared" ref="C9:E9" si="1">10.6*C8</f>
        <v>3.1799999999999997</v>
      </c>
      <c r="D9" s="3">
        <f t="shared" si="1"/>
        <v>15.899999999999999</v>
      </c>
      <c r="E9" s="3">
        <f t="shared" si="1"/>
        <v>53</v>
      </c>
    </row>
    <row r="11" spans="1:5" x14ac:dyDescent="0.25">
      <c r="A11" t="s">
        <v>7</v>
      </c>
      <c r="B11">
        <v>5</v>
      </c>
      <c r="C11">
        <v>5</v>
      </c>
      <c r="D11">
        <v>5</v>
      </c>
      <c r="E11">
        <v>5</v>
      </c>
    </row>
    <row r="12" spans="1:5" x14ac:dyDescent="0.25">
      <c r="A12" t="s">
        <v>8</v>
      </c>
      <c r="B12">
        <v>1</v>
      </c>
      <c r="C12">
        <v>3</v>
      </c>
      <c r="D12">
        <v>1</v>
      </c>
      <c r="E12">
        <v>3</v>
      </c>
    </row>
    <row r="13" spans="1:5" x14ac:dyDescent="0.25">
      <c r="A13" s="1" t="s">
        <v>6</v>
      </c>
      <c r="B13" s="1">
        <f>B11*B12</f>
        <v>5</v>
      </c>
      <c r="C13" s="1">
        <f>C11*C12</f>
        <v>15</v>
      </c>
      <c r="D13" s="1">
        <f>D11*D12</f>
        <v>5</v>
      </c>
      <c r="E13" s="1">
        <f>E11*E12</f>
        <v>15</v>
      </c>
    </row>
    <row r="15" spans="1:5" x14ac:dyDescent="0.25">
      <c r="A15" s="1" t="s">
        <v>9</v>
      </c>
      <c r="B15" s="3">
        <f>B13-B9</f>
        <v>4.0460000000000003</v>
      </c>
      <c r="C15" s="3">
        <f t="shared" ref="C15:E15" si="2">C13-C9</f>
        <v>11.82</v>
      </c>
      <c r="D15" s="3">
        <f t="shared" si="2"/>
        <v>-10.899999999999999</v>
      </c>
      <c r="E15" s="3">
        <f t="shared" si="2"/>
        <v>-38</v>
      </c>
    </row>
    <row r="16" spans="1:5" x14ac:dyDescent="0.25">
      <c r="A16" s="4" t="s">
        <v>10</v>
      </c>
      <c r="B16" s="4">
        <v>4</v>
      </c>
      <c r="C16" s="4">
        <v>12</v>
      </c>
      <c r="D16" s="5">
        <v>-11</v>
      </c>
      <c r="E16" s="5">
        <v>-38</v>
      </c>
    </row>
    <row r="18" spans="1:2" x14ac:dyDescent="0.25">
      <c r="A18" t="s">
        <v>16</v>
      </c>
      <c r="B18">
        <f>C16</f>
        <v>12</v>
      </c>
    </row>
    <row r="19" spans="1:2" x14ac:dyDescent="0.25">
      <c r="A19" t="s">
        <v>17</v>
      </c>
      <c r="B19">
        <f>E16</f>
        <v>-38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1" sqref="A21"/>
    </sheetView>
  </sheetViews>
  <sheetFormatPr defaultRowHeight="15" x14ac:dyDescent="0.25"/>
  <cols>
    <col min="1" max="1" width="51.140625" customWidth="1"/>
  </cols>
  <sheetData>
    <row r="1" spans="1:5" x14ac:dyDescent="0.25">
      <c r="A1" s="1" t="s">
        <v>11</v>
      </c>
    </row>
    <row r="3" spans="1:5" x14ac:dyDescent="0.25">
      <c r="A3" t="s">
        <v>13</v>
      </c>
      <c r="B3">
        <v>2000</v>
      </c>
    </row>
    <row r="5" spans="1:5" x14ac:dyDescent="0.25">
      <c r="A5" t="s">
        <v>3</v>
      </c>
      <c r="B5">
        <v>50</v>
      </c>
      <c r="C5">
        <v>50</v>
      </c>
      <c r="D5">
        <v>200</v>
      </c>
      <c r="E5">
        <v>200</v>
      </c>
    </row>
    <row r="6" spans="1:5" x14ac:dyDescent="0.25">
      <c r="A6" t="s">
        <v>1</v>
      </c>
      <c r="B6">
        <v>150</v>
      </c>
      <c r="C6">
        <v>150</v>
      </c>
      <c r="D6">
        <v>1000</v>
      </c>
      <c r="E6">
        <v>1000</v>
      </c>
    </row>
    <row r="7" spans="1:5" x14ac:dyDescent="0.25">
      <c r="A7" t="s">
        <v>12</v>
      </c>
      <c r="B7" s="2">
        <v>0.01</v>
      </c>
      <c r="C7" s="2">
        <v>2.5000000000000001E-2</v>
      </c>
      <c r="D7" s="2">
        <v>0.01</v>
      </c>
      <c r="E7" s="2">
        <v>2.5000000000000001E-2</v>
      </c>
    </row>
    <row r="8" spans="1:5" x14ac:dyDescent="0.25">
      <c r="A8" t="s">
        <v>4</v>
      </c>
      <c r="B8">
        <f>$B3*B7*B5/2*B6/1000000</f>
        <v>7.4999999999999997E-2</v>
      </c>
      <c r="C8">
        <f t="shared" ref="C8:E8" si="0">$B3*C7*C5/2*C6/1000000</f>
        <v>0.1875</v>
      </c>
      <c r="D8">
        <f t="shared" si="0"/>
        <v>2</v>
      </c>
      <c r="E8">
        <f t="shared" si="0"/>
        <v>5</v>
      </c>
    </row>
    <row r="9" spans="1:5" x14ac:dyDescent="0.25">
      <c r="A9" s="1" t="s">
        <v>5</v>
      </c>
      <c r="B9" s="3">
        <f>10.6*B8</f>
        <v>0.79499999999999993</v>
      </c>
      <c r="C9" s="3">
        <f t="shared" ref="C9:E9" si="1">10.6*C8</f>
        <v>1.9874999999999998</v>
      </c>
      <c r="D9" s="3">
        <f t="shared" si="1"/>
        <v>21.2</v>
      </c>
      <c r="E9" s="3">
        <f t="shared" si="1"/>
        <v>53</v>
      </c>
    </row>
    <row r="10" spans="1:5" x14ac:dyDescent="0.25">
      <c r="A10" s="4" t="s">
        <v>10</v>
      </c>
      <c r="B10" s="4">
        <v>1</v>
      </c>
      <c r="C10" s="4">
        <v>2</v>
      </c>
      <c r="D10" s="5">
        <v>21</v>
      </c>
      <c r="E10" s="5">
        <v>53</v>
      </c>
    </row>
    <row r="12" spans="1:5" x14ac:dyDescent="0.25">
      <c r="A12" t="s">
        <v>14</v>
      </c>
      <c r="B12">
        <f>B10</f>
        <v>1</v>
      </c>
    </row>
    <row r="13" spans="1:5" x14ac:dyDescent="0.25">
      <c r="A13" t="s">
        <v>15</v>
      </c>
      <c r="B13">
        <f>E10+5</f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A31" sqref="A31"/>
    </sheetView>
  </sheetViews>
  <sheetFormatPr defaultRowHeight="15" x14ac:dyDescent="0.25"/>
  <cols>
    <col min="1" max="1" width="62.28515625" bestFit="1" customWidth="1"/>
  </cols>
  <sheetData>
    <row r="1" spans="1:5" x14ac:dyDescent="0.25">
      <c r="A1" s="1" t="s">
        <v>18</v>
      </c>
    </row>
    <row r="3" spans="1:5" x14ac:dyDescent="0.25">
      <c r="A3" t="s">
        <v>19</v>
      </c>
      <c r="B3">
        <v>620</v>
      </c>
    </row>
    <row r="4" spans="1:5" x14ac:dyDescent="0.25">
      <c r="A4" t="s">
        <v>20</v>
      </c>
      <c r="B4">
        <v>570</v>
      </c>
    </row>
    <row r="5" spans="1:5" x14ac:dyDescent="0.25">
      <c r="A5" t="s">
        <v>21</v>
      </c>
      <c r="B5">
        <v>2920</v>
      </c>
    </row>
    <row r="6" spans="1:5" x14ac:dyDescent="0.25">
      <c r="A6" t="s">
        <v>22</v>
      </c>
      <c r="B6">
        <v>120</v>
      </c>
    </row>
    <row r="7" spans="1:5" s="1" customFormat="1" x14ac:dyDescent="0.25">
      <c r="A7" s="1" t="s">
        <v>23</v>
      </c>
      <c r="B7" s="1">
        <f>(B3-B4)*1000*B6/1000000</f>
        <v>6</v>
      </c>
    </row>
    <row r="9" spans="1:5" x14ac:dyDescent="0.25">
      <c r="A9" t="s">
        <v>24</v>
      </c>
      <c r="B9">
        <v>50</v>
      </c>
    </row>
    <row r="10" spans="1:5" x14ac:dyDescent="0.25">
      <c r="A10" t="s">
        <v>25</v>
      </c>
      <c r="B10">
        <v>60</v>
      </c>
      <c r="C10">
        <v>70</v>
      </c>
      <c r="D10">
        <v>80</v>
      </c>
    </row>
    <row r="11" spans="1:5" s="1" customFormat="1" x14ac:dyDescent="0.25">
      <c r="A11" s="1" t="s">
        <v>26</v>
      </c>
    </row>
    <row r="12" spans="1:5" x14ac:dyDescent="0.25">
      <c r="A12" t="s">
        <v>27</v>
      </c>
      <c r="B12" s="1">
        <f>($B3-$B4)*$B5*(B10-$B9)/1000000</f>
        <v>1.46</v>
      </c>
      <c r="C12" s="1">
        <f>($B3-$B4)*$B5*(C10-$B9)/1000000</f>
        <v>2.92</v>
      </c>
      <c r="D12" s="1">
        <f>($B3-$B4)*$B5*(D10-$B9)/1000000</f>
        <v>4.38</v>
      </c>
      <c r="E12" s="6" t="s">
        <v>28</v>
      </c>
    </row>
    <row r="14" spans="1:5" x14ac:dyDescent="0.25">
      <c r="A14" s="7" t="s">
        <v>29</v>
      </c>
    </row>
    <row r="15" spans="1:5" x14ac:dyDescent="0.25">
      <c r="A15" t="s">
        <v>25</v>
      </c>
      <c r="B15">
        <f>B10</f>
        <v>60</v>
      </c>
    </row>
    <row r="16" spans="1:5" x14ac:dyDescent="0.25">
      <c r="A16" t="s">
        <v>30</v>
      </c>
    </row>
    <row r="17" spans="1:2" x14ac:dyDescent="0.25">
      <c r="A17" t="s">
        <v>31</v>
      </c>
      <c r="B17">
        <v>3</v>
      </c>
    </row>
    <row r="18" spans="1:2" s="1" customFormat="1" x14ac:dyDescent="0.25">
      <c r="A18" s="1" t="s">
        <v>32</v>
      </c>
      <c r="B18" s="8">
        <f>2.78*B12</f>
        <v>4.0587999999999997</v>
      </c>
    </row>
    <row r="20" spans="1:2" x14ac:dyDescent="0.25">
      <c r="A20" s="7" t="s">
        <v>33</v>
      </c>
    </row>
    <row r="21" spans="1:2" x14ac:dyDescent="0.25">
      <c r="A21" t="s">
        <v>25</v>
      </c>
      <c r="B21">
        <f>D10</f>
        <v>80</v>
      </c>
    </row>
    <row r="22" spans="1:2" x14ac:dyDescent="0.25">
      <c r="A22" t="s">
        <v>30</v>
      </c>
    </row>
    <row r="23" spans="1:2" x14ac:dyDescent="0.25">
      <c r="A23" t="s">
        <v>31</v>
      </c>
      <c r="B23">
        <v>10</v>
      </c>
    </row>
    <row r="24" spans="1:2" x14ac:dyDescent="0.25">
      <c r="A24" s="1" t="s">
        <v>32</v>
      </c>
      <c r="B24" s="8">
        <f>7.25*D12</f>
        <v>31.754999999999999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13" workbookViewId="0">
      <selection activeCell="E48" sqref="E48"/>
    </sheetView>
  </sheetViews>
  <sheetFormatPr defaultRowHeight="15" x14ac:dyDescent="0.25"/>
  <cols>
    <col min="1" max="1" width="49.7109375" customWidth="1"/>
    <col min="2" max="2" width="7.85546875" customWidth="1"/>
  </cols>
  <sheetData>
    <row r="1" spans="1:4" x14ac:dyDescent="0.25">
      <c r="A1" s="1" t="s">
        <v>34</v>
      </c>
    </row>
    <row r="3" spans="1:4" ht="30" x14ac:dyDescent="0.25">
      <c r="A3" s="9" t="s">
        <v>35</v>
      </c>
      <c r="B3">
        <v>600</v>
      </c>
    </row>
    <row r="4" spans="1:4" ht="30" x14ac:dyDescent="0.25">
      <c r="A4" s="9" t="s">
        <v>36</v>
      </c>
      <c r="B4">
        <v>10</v>
      </c>
      <c r="C4" s="6" t="s">
        <v>37</v>
      </c>
    </row>
    <row r="5" spans="1:4" ht="30" x14ac:dyDescent="0.25">
      <c r="A5" s="9" t="s">
        <v>38</v>
      </c>
      <c r="B5">
        <f>B4/2</f>
        <v>5</v>
      </c>
      <c r="C5" s="6" t="s">
        <v>39</v>
      </c>
    </row>
    <row r="6" spans="1:4" ht="30" x14ac:dyDescent="0.25">
      <c r="A6" s="9" t="s">
        <v>40</v>
      </c>
      <c r="B6" s="10">
        <v>0.08</v>
      </c>
      <c r="C6" s="10">
        <v>0.12</v>
      </c>
      <c r="D6" s="10">
        <v>0.17</v>
      </c>
    </row>
    <row r="8" spans="1:4" x14ac:dyDescent="0.25">
      <c r="A8" s="9" t="s">
        <v>41</v>
      </c>
    </row>
    <row r="9" spans="1:4" x14ac:dyDescent="0.25">
      <c r="A9" s="11">
        <v>2016</v>
      </c>
      <c r="B9">
        <f>$B3*B6</f>
        <v>48</v>
      </c>
      <c r="C9">
        <f t="shared" ref="C9:D9" si="0">$B3*C6</f>
        <v>72</v>
      </c>
      <c r="D9">
        <f t="shared" si="0"/>
        <v>102.00000000000001</v>
      </c>
    </row>
    <row r="10" spans="1:4" x14ac:dyDescent="0.25">
      <c r="A10" s="11">
        <v>2017</v>
      </c>
      <c r="B10">
        <f>B9+B$9</f>
        <v>96</v>
      </c>
      <c r="C10">
        <f t="shared" ref="C10:D25" si="1">C9+C$9</f>
        <v>144</v>
      </c>
      <c r="D10">
        <f t="shared" si="1"/>
        <v>204.00000000000003</v>
      </c>
    </row>
    <row r="11" spans="1:4" x14ac:dyDescent="0.25">
      <c r="A11" s="11">
        <v>2018</v>
      </c>
      <c r="B11">
        <f t="shared" ref="B11:D26" si="2">B10+B$9</f>
        <v>144</v>
      </c>
      <c r="C11">
        <f t="shared" si="1"/>
        <v>216</v>
      </c>
      <c r="D11">
        <f t="shared" si="1"/>
        <v>306.00000000000006</v>
      </c>
    </row>
    <row r="12" spans="1:4" x14ac:dyDescent="0.25">
      <c r="A12" s="11">
        <v>2019</v>
      </c>
      <c r="B12">
        <f t="shared" si="2"/>
        <v>192</v>
      </c>
      <c r="C12">
        <f t="shared" si="1"/>
        <v>288</v>
      </c>
      <c r="D12">
        <f t="shared" si="1"/>
        <v>408.00000000000006</v>
      </c>
    </row>
    <row r="13" spans="1:4" x14ac:dyDescent="0.25">
      <c r="A13" s="11">
        <v>2020</v>
      </c>
      <c r="B13">
        <f t="shared" si="2"/>
        <v>240</v>
      </c>
      <c r="C13">
        <f t="shared" si="1"/>
        <v>360</v>
      </c>
      <c r="D13">
        <f t="shared" si="1"/>
        <v>510.00000000000006</v>
      </c>
    </row>
    <row r="14" spans="1:4" x14ac:dyDescent="0.25">
      <c r="A14" s="11">
        <v>2021</v>
      </c>
      <c r="B14">
        <f t="shared" si="2"/>
        <v>288</v>
      </c>
      <c r="C14">
        <f t="shared" si="1"/>
        <v>432</v>
      </c>
      <c r="D14">
        <f t="shared" si="1"/>
        <v>612.00000000000011</v>
      </c>
    </row>
    <row r="15" spans="1:4" x14ac:dyDescent="0.25">
      <c r="A15" s="11">
        <v>2022</v>
      </c>
      <c r="B15">
        <f t="shared" si="2"/>
        <v>336</v>
      </c>
      <c r="C15">
        <f t="shared" si="1"/>
        <v>504</v>
      </c>
      <c r="D15">
        <f t="shared" si="1"/>
        <v>714.00000000000011</v>
      </c>
    </row>
    <row r="16" spans="1:4" x14ac:dyDescent="0.25">
      <c r="A16" s="11">
        <v>2023</v>
      </c>
      <c r="B16">
        <f t="shared" si="2"/>
        <v>384</v>
      </c>
      <c r="C16">
        <f t="shared" si="1"/>
        <v>576</v>
      </c>
      <c r="D16">
        <f t="shared" si="1"/>
        <v>816.00000000000011</v>
      </c>
    </row>
    <row r="17" spans="1:6" x14ac:dyDescent="0.25">
      <c r="A17" s="11">
        <v>2024</v>
      </c>
      <c r="B17">
        <f t="shared" si="2"/>
        <v>432</v>
      </c>
      <c r="C17">
        <f t="shared" si="1"/>
        <v>648</v>
      </c>
      <c r="D17">
        <f t="shared" si="1"/>
        <v>918.00000000000011</v>
      </c>
    </row>
    <row r="18" spans="1:6" x14ac:dyDescent="0.25">
      <c r="A18" s="11">
        <v>2025</v>
      </c>
      <c r="B18">
        <f t="shared" si="2"/>
        <v>480</v>
      </c>
      <c r="C18">
        <f t="shared" si="1"/>
        <v>720</v>
      </c>
      <c r="D18">
        <f t="shared" si="1"/>
        <v>1020.0000000000001</v>
      </c>
    </row>
    <row r="19" spans="1:6" x14ac:dyDescent="0.25">
      <c r="A19" s="11">
        <v>2026</v>
      </c>
      <c r="B19">
        <f t="shared" si="2"/>
        <v>528</v>
      </c>
      <c r="C19">
        <f t="shared" si="1"/>
        <v>792</v>
      </c>
      <c r="D19">
        <f t="shared" si="1"/>
        <v>1122.0000000000002</v>
      </c>
    </row>
    <row r="20" spans="1:6" x14ac:dyDescent="0.25">
      <c r="A20" s="11">
        <v>2027</v>
      </c>
      <c r="B20">
        <f t="shared" si="2"/>
        <v>576</v>
      </c>
      <c r="C20">
        <f t="shared" si="1"/>
        <v>864</v>
      </c>
      <c r="D20">
        <f t="shared" si="1"/>
        <v>1224.0000000000002</v>
      </c>
    </row>
    <row r="21" spans="1:6" x14ac:dyDescent="0.25">
      <c r="A21" s="11">
        <v>2028</v>
      </c>
      <c r="B21">
        <f t="shared" si="2"/>
        <v>624</v>
      </c>
      <c r="C21">
        <f t="shared" si="1"/>
        <v>936</v>
      </c>
      <c r="D21">
        <f t="shared" si="1"/>
        <v>1326.0000000000002</v>
      </c>
    </row>
    <row r="22" spans="1:6" x14ac:dyDescent="0.25">
      <c r="A22" s="11">
        <v>2029</v>
      </c>
      <c r="B22">
        <f t="shared" si="2"/>
        <v>672</v>
      </c>
      <c r="C22">
        <f t="shared" si="1"/>
        <v>1008</v>
      </c>
      <c r="D22">
        <f t="shared" si="1"/>
        <v>1428.0000000000002</v>
      </c>
    </row>
    <row r="23" spans="1:6" x14ac:dyDescent="0.25">
      <c r="A23" s="11">
        <v>2030</v>
      </c>
      <c r="B23">
        <f t="shared" si="2"/>
        <v>720</v>
      </c>
      <c r="C23">
        <f t="shared" si="1"/>
        <v>1080</v>
      </c>
      <c r="D23">
        <f t="shared" si="1"/>
        <v>1530.0000000000002</v>
      </c>
    </row>
    <row r="24" spans="1:6" x14ac:dyDescent="0.25">
      <c r="A24" s="11">
        <v>2031</v>
      </c>
      <c r="B24">
        <f t="shared" si="2"/>
        <v>768</v>
      </c>
      <c r="C24">
        <f t="shared" si="1"/>
        <v>1152</v>
      </c>
      <c r="D24">
        <f t="shared" si="1"/>
        <v>1632.0000000000002</v>
      </c>
    </row>
    <row r="25" spans="1:6" x14ac:dyDescent="0.25">
      <c r="A25" s="11">
        <v>2032</v>
      </c>
      <c r="B25">
        <f t="shared" si="2"/>
        <v>816</v>
      </c>
      <c r="C25">
        <f t="shared" si="1"/>
        <v>1224</v>
      </c>
      <c r="D25">
        <f t="shared" si="1"/>
        <v>1734.0000000000002</v>
      </c>
    </row>
    <row r="26" spans="1:6" x14ac:dyDescent="0.25">
      <c r="A26" s="11">
        <v>2033</v>
      </c>
      <c r="B26">
        <f t="shared" si="2"/>
        <v>864</v>
      </c>
      <c r="C26">
        <f t="shared" si="2"/>
        <v>1296</v>
      </c>
      <c r="D26">
        <f t="shared" si="2"/>
        <v>1836.0000000000002</v>
      </c>
    </row>
    <row r="27" spans="1:6" x14ac:dyDescent="0.25">
      <c r="A27" s="11">
        <v>2034</v>
      </c>
      <c r="B27">
        <f t="shared" ref="B27:D28" si="3">B26+B$9</f>
        <v>912</v>
      </c>
      <c r="C27">
        <f t="shared" si="3"/>
        <v>1368</v>
      </c>
      <c r="D27">
        <f t="shared" si="3"/>
        <v>1938.0000000000002</v>
      </c>
    </row>
    <row r="28" spans="1:6" x14ac:dyDescent="0.25">
      <c r="A28" s="11">
        <v>2035</v>
      </c>
      <c r="B28">
        <f t="shared" si="3"/>
        <v>960</v>
      </c>
      <c r="C28">
        <f t="shared" si="3"/>
        <v>1440</v>
      </c>
      <c r="D28">
        <f t="shared" si="3"/>
        <v>2040.0000000000002</v>
      </c>
    </row>
    <row r="30" spans="1:6" x14ac:dyDescent="0.25">
      <c r="A30" t="s">
        <v>42</v>
      </c>
      <c r="F30" t="s">
        <v>43</v>
      </c>
    </row>
    <row r="31" spans="1:6" x14ac:dyDescent="0.25">
      <c r="A31" s="11">
        <v>2016</v>
      </c>
      <c r="B31">
        <f>B9*$B$5*1000/1000000</f>
        <v>0.24</v>
      </c>
      <c r="C31">
        <f t="shared" ref="C31:D31" si="4">C9*$B$5*1000/1000000</f>
        <v>0.36</v>
      </c>
      <c r="D31">
        <f t="shared" si="4"/>
        <v>0.51</v>
      </c>
      <c r="F31" s="12">
        <f>1.08^-(A31-2014)</f>
        <v>0.85733882030178321</v>
      </c>
    </row>
    <row r="32" spans="1:6" x14ac:dyDescent="0.25">
      <c r="A32" s="11">
        <v>2017</v>
      </c>
      <c r="B32">
        <f t="shared" ref="B32:D47" si="5">B10*$B$5*1000/1000000</f>
        <v>0.48</v>
      </c>
      <c r="C32">
        <f t="shared" si="5"/>
        <v>0.72</v>
      </c>
      <c r="D32">
        <f t="shared" si="5"/>
        <v>1.02</v>
      </c>
      <c r="F32" s="12">
        <f t="shared" ref="F32:F48" si="6">1.08^-(A32-2014)</f>
        <v>0.79383224102016958</v>
      </c>
    </row>
    <row r="33" spans="1:6" x14ac:dyDescent="0.25">
      <c r="A33" s="11">
        <v>2018</v>
      </c>
      <c r="B33">
        <f t="shared" si="5"/>
        <v>0.72</v>
      </c>
      <c r="C33">
        <f t="shared" si="5"/>
        <v>1.08</v>
      </c>
      <c r="D33">
        <f t="shared" si="5"/>
        <v>1.5300000000000002</v>
      </c>
      <c r="F33" s="12">
        <f t="shared" si="6"/>
        <v>0.73502985279645328</v>
      </c>
    </row>
    <row r="34" spans="1:6" x14ac:dyDescent="0.25">
      <c r="A34" s="11">
        <v>2019</v>
      </c>
      <c r="B34">
        <f t="shared" si="5"/>
        <v>0.96</v>
      </c>
      <c r="C34">
        <f t="shared" si="5"/>
        <v>1.44</v>
      </c>
      <c r="D34">
        <f t="shared" si="5"/>
        <v>2.04</v>
      </c>
      <c r="F34" s="12">
        <f t="shared" si="6"/>
        <v>0.68058319703375303</v>
      </c>
    </row>
    <row r="35" spans="1:6" x14ac:dyDescent="0.25">
      <c r="A35" s="11">
        <v>2020</v>
      </c>
      <c r="B35">
        <f t="shared" si="5"/>
        <v>1.2</v>
      </c>
      <c r="C35">
        <f t="shared" si="5"/>
        <v>1.8</v>
      </c>
      <c r="D35">
        <f t="shared" si="5"/>
        <v>2.5500000000000003</v>
      </c>
      <c r="F35" s="12">
        <f t="shared" si="6"/>
        <v>0.63016962688310452</v>
      </c>
    </row>
    <row r="36" spans="1:6" x14ac:dyDescent="0.25">
      <c r="A36" s="11">
        <v>2021</v>
      </c>
      <c r="B36">
        <f t="shared" si="5"/>
        <v>1.44</v>
      </c>
      <c r="C36">
        <f t="shared" si="5"/>
        <v>2.16</v>
      </c>
      <c r="D36">
        <f t="shared" si="5"/>
        <v>3.0600000000000005</v>
      </c>
      <c r="F36" s="12">
        <f t="shared" si="6"/>
        <v>0.58349039526213387</v>
      </c>
    </row>
    <row r="37" spans="1:6" x14ac:dyDescent="0.25">
      <c r="A37" s="11">
        <v>2022</v>
      </c>
      <c r="B37">
        <f t="shared" si="5"/>
        <v>1.68</v>
      </c>
      <c r="C37">
        <f t="shared" si="5"/>
        <v>2.52</v>
      </c>
      <c r="D37">
        <f t="shared" si="5"/>
        <v>3.5700000000000003</v>
      </c>
      <c r="F37" s="12">
        <f t="shared" si="6"/>
        <v>0.54026888450197574</v>
      </c>
    </row>
    <row r="38" spans="1:6" x14ac:dyDescent="0.25">
      <c r="A38" s="11">
        <v>2023</v>
      </c>
      <c r="B38">
        <f t="shared" si="5"/>
        <v>1.92</v>
      </c>
      <c r="C38">
        <f t="shared" si="5"/>
        <v>2.88</v>
      </c>
      <c r="D38">
        <f t="shared" si="5"/>
        <v>4.08</v>
      </c>
      <c r="F38" s="12">
        <f t="shared" si="6"/>
        <v>0.50024896713145905</v>
      </c>
    </row>
    <row r="39" spans="1:6" x14ac:dyDescent="0.25">
      <c r="A39" s="11">
        <v>2024</v>
      </c>
      <c r="B39">
        <f t="shared" si="5"/>
        <v>2.16</v>
      </c>
      <c r="C39">
        <f t="shared" si="5"/>
        <v>3.24</v>
      </c>
      <c r="D39">
        <f t="shared" si="5"/>
        <v>4.5900000000000007</v>
      </c>
      <c r="F39" s="12">
        <f t="shared" si="6"/>
        <v>0.46319348808468425</v>
      </c>
    </row>
    <row r="40" spans="1:6" x14ac:dyDescent="0.25">
      <c r="A40" s="11">
        <v>2025</v>
      </c>
      <c r="B40">
        <f t="shared" si="5"/>
        <v>2.4</v>
      </c>
      <c r="C40">
        <f t="shared" si="5"/>
        <v>3.6</v>
      </c>
      <c r="D40">
        <f t="shared" si="5"/>
        <v>5.1000000000000005</v>
      </c>
      <c r="F40" s="12">
        <f t="shared" si="6"/>
        <v>0.42888285933767062</v>
      </c>
    </row>
    <row r="41" spans="1:6" x14ac:dyDescent="0.25">
      <c r="A41" s="11">
        <v>2026</v>
      </c>
      <c r="B41">
        <f t="shared" si="5"/>
        <v>2.64</v>
      </c>
      <c r="C41">
        <f t="shared" si="5"/>
        <v>3.96</v>
      </c>
      <c r="D41">
        <f t="shared" si="5"/>
        <v>5.6100000000000012</v>
      </c>
      <c r="F41" s="12">
        <f t="shared" si="6"/>
        <v>0.39711375864599124</v>
      </c>
    </row>
    <row r="42" spans="1:6" x14ac:dyDescent="0.25">
      <c r="A42" s="11">
        <v>2027</v>
      </c>
      <c r="B42">
        <f t="shared" si="5"/>
        <v>2.88</v>
      </c>
      <c r="C42">
        <f t="shared" si="5"/>
        <v>4.32</v>
      </c>
      <c r="D42">
        <f t="shared" si="5"/>
        <v>6.120000000000001</v>
      </c>
      <c r="F42" s="12">
        <f t="shared" si="6"/>
        <v>0.36769792467221413</v>
      </c>
    </row>
    <row r="43" spans="1:6" x14ac:dyDescent="0.25">
      <c r="A43" s="11">
        <v>2028</v>
      </c>
      <c r="B43">
        <f t="shared" si="5"/>
        <v>3.12</v>
      </c>
      <c r="C43">
        <f t="shared" si="5"/>
        <v>4.68</v>
      </c>
      <c r="D43">
        <f t="shared" si="5"/>
        <v>6.6300000000000008</v>
      </c>
      <c r="F43" s="12">
        <f t="shared" si="6"/>
        <v>0.34046104136316119</v>
      </c>
    </row>
    <row r="44" spans="1:6" x14ac:dyDescent="0.25">
      <c r="A44" s="11">
        <v>2029</v>
      </c>
      <c r="B44">
        <f t="shared" si="5"/>
        <v>3.36</v>
      </c>
      <c r="C44">
        <f t="shared" si="5"/>
        <v>5.04</v>
      </c>
      <c r="D44">
        <f t="shared" si="5"/>
        <v>7.1400000000000006</v>
      </c>
      <c r="F44" s="12">
        <f t="shared" si="6"/>
        <v>0.31524170496588994</v>
      </c>
    </row>
    <row r="45" spans="1:6" x14ac:dyDescent="0.25">
      <c r="A45" s="11">
        <v>2030</v>
      </c>
      <c r="B45">
        <f t="shared" si="5"/>
        <v>3.6</v>
      </c>
      <c r="C45">
        <f t="shared" si="5"/>
        <v>5.4</v>
      </c>
      <c r="D45">
        <f t="shared" si="5"/>
        <v>7.6500000000000012</v>
      </c>
      <c r="F45" s="12">
        <f t="shared" si="6"/>
        <v>0.29189046756100923</v>
      </c>
    </row>
    <row r="46" spans="1:6" x14ac:dyDescent="0.25">
      <c r="A46" s="11">
        <v>2031</v>
      </c>
      <c r="B46">
        <f t="shared" si="5"/>
        <v>3.84</v>
      </c>
      <c r="C46">
        <f t="shared" si="5"/>
        <v>5.76</v>
      </c>
      <c r="D46">
        <f t="shared" si="5"/>
        <v>8.16</v>
      </c>
      <c r="F46" s="12">
        <f t="shared" si="6"/>
        <v>0.27026895144537894</v>
      </c>
    </row>
    <row r="47" spans="1:6" x14ac:dyDescent="0.25">
      <c r="A47" s="11">
        <v>2032</v>
      </c>
      <c r="B47">
        <f t="shared" si="5"/>
        <v>4.08</v>
      </c>
      <c r="C47">
        <f t="shared" si="5"/>
        <v>6.12</v>
      </c>
      <c r="D47">
        <f t="shared" si="5"/>
        <v>8.6700000000000017</v>
      </c>
      <c r="F47" s="12">
        <f t="shared" si="6"/>
        <v>0.25024902911609154</v>
      </c>
    </row>
    <row r="48" spans="1:6" x14ac:dyDescent="0.25">
      <c r="A48" s="11">
        <v>2033</v>
      </c>
      <c r="B48">
        <f t="shared" ref="B48:D48" si="7">B26*$B$5*1000/1000000</f>
        <v>4.32</v>
      </c>
      <c r="C48">
        <f t="shared" si="7"/>
        <v>6.48</v>
      </c>
      <c r="D48">
        <f t="shared" si="7"/>
        <v>9.1800000000000015</v>
      </c>
      <c r="F48" s="12">
        <f t="shared" si="6"/>
        <v>0.23171206399638106</v>
      </c>
    </row>
    <row r="50" spans="1:5" x14ac:dyDescent="0.25">
      <c r="A50" s="1" t="s">
        <v>44</v>
      </c>
      <c r="B50" s="8">
        <f>SUMPRODUCT(B31:B48,$F31:$F48)</f>
        <v>15.60320995234196</v>
      </c>
      <c r="C50" s="8">
        <f t="shared" ref="C50:D50" si="8">SUMPRODUCT(C31:C48,$F31:$F48)</f>
        <v>23.404814928512941</v>
      </c>
      <c r="D50" s="8">
        <f t="shared" si="8"/>
        <v>33.156821148726664</v>
      </c>
      <c r="E50" s="1"/>
    </row>
    <row r="51" spans="1:5" x14ac:dyDescent="0.25">
      <c r="A51" t="s">
        <v>45</v>
      </c>
      <c r="B51">
        <v>15</v>
      </c>
      <c r="C51">
        <v>24</v>
      </c>
      <c r="D51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"/>
  <sheetViews>
    <sheetView workbookViewId="0">
      <selection activeCell="B16" sqref="B16"/>
    </sheetView>
  </sheetViews>
  <sheetFormatPr defaultRowHeight="15" x14ac:dyDescent="0.25"/>
  <cols>
    <col min="1" max="1" width="31.28515625" customWidth="1"/>
    <col min="2" max="2" width="41.28515625" bestFit="1" customWidth="1"/>
    <col min="3" max="7" width="9" customWidth="1"/>
  </cols>
  <sheetData>
    <row r="1" spans="1:7" x14ac:dyDescent="0.25">
      <c r="A1" s="13"/>
      <c r="B1" s="14" t="s">
        <v>46</v>
      </c>
      <c r="C1" s="15" t="s">
        <v>47</v>
      </c>
      <c r="D1" s="16" t="s">
        <v>48</v>
      </c>
      <c r="E1" s="16" t="s">
        <v>49</v>
      </c>
      <c r="F1" s="16" t="s">
        <v>50</v>
      </c>
      <c r="G1" s="17" t="s">
        <v>51</v>
      </c>
    </row>
    <row r="2" spans="1:7" x14ac:dyDescent="0.25">
      <c r="A2" s="18" t="s">
        <v>52</v>
      </c>
      <c r="B2" s="19" t="s">
        <v>53</v>
      </c>
      <c r="C2" s="20">
        <v>191.34426999999999</v>
      </c>
      <c r="D2" s="21">
        <v>176.10201999999899</v>
      </c>
      <c r="E2" s="21">
        <v>173.22293999999999</v>
      </c>
      <c r="F2" s="21">
        <v>142.03539999999899</v>
      </c>
      <c r="G2" s="22">
        <v>167.03918999999999</v>
      </c>
    </row>
    <row r="3" spans="1:7" x14ac:dyDescent="0.25">
      <c r="A3" s="23"/>
      <c r="B3" s="24" t="s">
        <v>54</v>
      </c>
      <c r="C3" s="25">
        <v>1574.809</v>
      </c>
      <c r="D3" s="26">
        <v>1528.39883333333</v>
      </c>
      <c r="E3" s="26">
        <v>1652.3796666666599</v>
      </c>
      <c r="F3" s="26">
        <v>1504.8685</v>
      </c>
      <c r="G3" s="27">
        <v>1532.83983333333</v>
      </c>
    </row>
    <row r="4" spans="1:7" x14ac:dyDescent="0.25">
      <c r="A4" s="13"/>
      <c r="B4" s="28"/>
      <c r="C4" s="29"/>
      <c r="D4" s="29"/>
      <c r="E4" s="29"/>
      <c r="F4" s="29"/>
      <c r="G4" s="29"/>
    </row>
    <row r="5" spans="1:7" x14ac:dyDescent="0.25">
      <c r="A5" s="30"/>
      <c r="B5" s="14" t="s">
        <v>55</v>
      </c>
      <c r="C5" s="31">
        <v>2009</v>
      </c>
      <c r="D5" s="32">
        <v>2010</v>
      </c>
      <c r="E5" s="32">
        <v>2011</v>
      </c>
      <c r="F5" s="32">
        <v>2012</v>
      </c>
      <c r="G5" s="33">
        <v>2013</v>
      </c>
    </row>
    <row r="6" spans="1:7" x14ac:dyDescent="0.25">
      <c r="A6" s="18" t="s">
        <v>56</v>
      </c>
      <c r="B6" s="19" t="s">
        <v>53</v>
      </c>
      <c r="C6" s="34">
        <v>1161.5039999999999</v>
      </c>
      <c r="D6" s="35">
        <v>1118.558</v>
      </c>
      <c r="E6" s="35">
        <v>1072.027</v>
      </c>
      <c r="F6" s="35">
        <v>1071.973</v>
      </c>
      <c r="G6" s="36">
        <v>1038.7249999999999</v>
      </c>
    </row>
    <row r="7" spans="1:7" x14ac:dyDescent="0.25">
      <c r="A7" s="23"/>
      <c r="B7" s="24" t="s">
        <v>54</v>
      </c>
      <c r="C7" s="37">
        <v>8547.6027140000006</v>
      </c>
      <c r="D7" s="38">
        <v>8548.0884470000001</v>
      </c>
      <c r="E7" s="38">
        <v>8654.1115929999996</v>
      </c>
      <c r="F7" s="38">
        <v>8623.2419289999998</v>
      </c>
      <c r="G7" s="39">
        <v>8479.8962240000001</v>
      </c>
    </row>
    <row r="8" spans="1:7" x14ac:dyDescent="0.25">
      <c r="A8" s="13"/>
      <c r="B8" s="40"/>
      <c r="C8" s="29"/>
      <c r="D8" s="29"/>
      <c r="E8" s="29"/>
      <c r="F8" s="29"/>
      <c r="G8" s="29"/>
    </row>
    <row r="9" spans="1:7" x14ac:dyDescent="0.25">
      <c r="A9" s="13"/>
      <c r="B9" s="41" t="s">
        <v>57</v>
      </c>
      <c r="C9" s="42" t="s">
        <v>49</v>
      </c>
      <c r="D9" s="43" t="s">
        <v>50</v>
      </c>
      <c r="E9" s="43" t="s">
        <v>51</v>
      </c>
      <c r="F9" s="43" t="s">
        <v>58</v>
      </c>
      <c r="G9" s="44" t="s">
        <v>59</v>
      </c>
    </row>
    <row r="10" spans="1:7" x14ac:dyDescent="0.25">
      <c r="A10" s="45"/>
      <c r="B10" s="46" t="s">
        <v>22</v>
      </c>
      <c r="C10" s="47">
        <v>69.12</v>
      </c>
      <c r="D10" s="48">
        <v>76.14</v>
      </c>
      <c r="E10" s="48">
        <v>90.66</v>
      </c>
      <c r="F10" s="48">
        <v>99.44</v>
      </c>
      <c r="G10" s="49">
        <v>114.47</v>
      </c>
    </row>
    <row r="11" spans="1:7" x14ac:dyDescent="0.25">
      <c r="A11" s="50" t="s">
        <v>60</v>
      </c>
      <c r="B11" s="51" t="s">
        <v>53</v>
      </c>
      <c r="C11" s="52">
        <f>C$10*C$2*1000/(C$6*1000)</f>
        <v>11.386715794693778</v>
      </c>
      <c r="D11" s="53">
        <f>D$10*D$2*1000/(D$6*1000)</f>
        <v>11.987226234848727</v>
      </c>
      <c r="E11" s="53">
        <f>E$10*E$2*1000/(E$6*1000)</f>
        <v>14.649250196496915</v>
      </c>
      <c r="F11" s="53">
        <f>F$10*F$2*1000/(F$6*1000)</f>
        <v>13.175705149290048</v>
      </c>
      <c r="G11" s="54">
        <f>G$10*G$2*1000/(G$6*1000)</f>
        <v>18.408121571445761</v>
      </c>
    </row>
    <row r="12" spans="1:7" x14ac:dyDescent="0.25">
      <c r="A12" s="55"/>
      <c r="B12" s="56" t="s">
        <v>54</v>
      </c>
      <c r="C12" s="57">
        <f>C$10*C$3*1000/(C$7*1000)</f>
        <v>12.734658093282086</v>
      </c>
      <c r="D12" s="58">
        <f>D$10*D$3*1000/(D$7*1000)</f>
        <v>13.613837513677254</v>
      </c>
      <c r="E12" s="58">
        <f>E$10*E$3*1000/(E$7*1000)</f>
        <v>17.310239066153368</v>
      </c>
      <c r="F12" s="58">
        <f>F$10*F$3*1000/(F$7*1000)</f>
        <v>17.353580575855837</v>
      </c>
      <c r="G12" s="59">
        <f>G$10*G$3*1000/(G$7*1000)</f>
        <v>20.691783376436081</v>
      </c>
    </row>
  </sheetData>
  <mergeCells count="3">
    <mergeCell ref="A2:A3"/>
    <mergeCell ref="A6:A7"/>
    <mergeCell ref="A11:A1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pane ySplit="4" topLeftCell="A5" activePane="bottomLeft" state="frozen"/>
      <selection activeCell="A36" sqref="A36"/>
      <selection pane="bottomLeft" activeCell="A36" sqref="A36"/>
    </sheetView>
  </sheetViews>
  <sheetFormatPr defaultRowHeight="15" x14ac:dyDescent="0.25"/>
  <cols>
    <col min="1" max="1" width="50.42578125" customWidth="1"/>
    <col min="2" max="2" width="9.140625" style="60"/>
    <col min="3" max="4" width="9.140625" style="61"/>
    <col min="5" max="5" width="9.140625" style="62"/>
    <col min="6" max="9" width="9.140625" style="63"/>
    <col min="10" max="10" width="9.140625" style="60"/>
    <col min="11" max="12" width="9.140625" style="61"/>
    <col min="13" max="13" width="9.140625" style="62"/>
  </cols>
  <sheetData>
    <row r="1" spans="1:13" x14ac:dyDescent="0.25">
      <c r="A1" s="1" t="s">
        <v>61</v>
      </c>
    </row>
    <row r="3" spans="1:13" x14ac:dyDescent="0.25">
      <c r="A3" t="s">
        <v>62</v>
      </c>
      <c r="B3" s="60" t="s">
        <v>63</v>
      </c>
      <c r="F3" s="11" t="s">
        <v>64</v>
      </c>
      <c r="J3" s="64" t="s">
        <v>65</v>
      </c>
    </row>
    <row r="4" spans="1:13" x14ac:dyDescent="0.25">
      <c r="A4" t="s">
        <v>66</v>
      </c>
      <c r="B4" s="60" t="s">
        <v>67</v>
      </c>
      <c r="C4" s="61" t="s">
        <v>68</v>
      </c>
      <c r="D4" s="61" t="s">
        <v>69</v>
      </c>
      <c r="E4" s="62" t="s">
        <v>70</v>
      </c>
      <c r="F4" s="63" t="s">
        <v>67</v>
      </c>
      <c r="G4" s="63" t="s">
        <v>68</v>
      </c>
      <c r="H4" s="63" t="s">
        <v>69</v>
      </c>
      <c r="I4" s="63" t="s">
        <v>70</v>
      </c>
      <c r="J4" s="60" t="s">
        <v>67</v>
      </c>
      <c r="K4" s="61" t="s">
        <v>68</v>
      </c>
      <c r="L4" s="61" t="s">
        <v>69</v>
      </c>
      <c r="M4" s="62" t="s">
        <v>70</v>
      </c>
    </row>
    <row r="5" spans="1:13" x14ac:dyDescent="0.25">
      <c r="A5" t="s">
        <v>71</v>
      </c>
      <c r="B5" s="60">
        <v>30000</v>
      </c>
      <c r="C5" s="61">
        <v>30000</v>
      </c>
      <c r="D5" s="61">
        <v>30000</v>
      </c>
      <c r="E5" s="62">
        <v>30000</v>
      </c>
      <c r="F5" s="63">
        <v>30000</v>
      </c>
      <c r="G5" s="63">
        <v>30000</v>
      </c>
      <c r="H5" s="63">
        <v>30000</v>
      </c>
      <c r="I5" s="63">
        <v>30000</v>
      </c>
      <c r="J5" s="60">
        <v>30000</v>
      </c>
      <c r="K5" s="61">
        <v>30000</v>
      </c>
      <c r="L5" s="61">
        <v>30000</v>
      </c>
      <c r="M5" s="62">
        <v>30000</v>
      </c>
    </row>
    <row r="6" spans="1:13" x14ac:dyDescent="0.25">
      <c r="A6" t="s">
        <v>72</v>
      </c>
      <c r="B6" s="60">
        <v>200</v>
      </c>
      <c r="C6" s="61">
        <v>200</v>
      </c>
      <c r="D6" s="61">
        <v>200</v>
      </c>
      <c r="E6" s="62">
        <v>200</v>
      </c>
      <c r="F6" s="63">
        <v>200</v>
      </c>
      <c r="G6" s="63">
        <v>200</v>
      </c>
      <c r="H6" s="63">
        <v>200</v>
      </c>
      <c r="I6" s="63">
        <v>200</v>
      </c>
      <c r="J6" s="60">
        <v>200</v>
      </c>
      <c r="K6" s="61">
        <v>200</v>
      </c>
      <c r="L6" s="61">
        <v>200</v>
      </c>
      <c r="M6" s="62">
        <v>200</v>
      </c>
    </row>
    <row r="7" spans="1:13" x14ac:dyDescent="0.25">
      <c r="A7" t="s">
        <v>73</v>
      </c>
      <c r="B7" s="60">
        <v>20</v>
      </c>
      <c r="C7" s="61">
        <v>20</v>
      </c>
      <c r="D7" s="61">
        <v>20</v>
      </c>
      <c r="E7" s="62">
        <v>20</v>
      </c>
      <c r="F7" s="63">
        <v>20</v>
      </c>
      <c r="G7" s="63">
        <v>20</v>
      </c>
      <c r="H7" s="63">
        <v>20</v>
      </c>
      <c r="I7" s="63">
        <v>20</v>
      </c>
      <c r="J7" s="60">
        <v>20</v>
      </c>
      <c r="K7" s="61">
        <v>20</v>
      </c>
      <c r="L7" s="61">
        <v>20</v>
      </c>
      <c r="M7" s="62">
        <v>20</v>
      </c>
    </row>
    <row r="8" spans="1:13" x14ac:dyDescent="0.25">
      <c r="A8" t="s">
        <v>74</v>
      </c>
      <c r="B8" s="60">
        <v>-0.26</v>
      </c>
      <c r="C8" s="61">
        <v>-0.26</v>
      </c>
      <c r="D8" s="61">
        <v>-0.26</v>
      </c>
      <c r="E8" s="62">
        <v>-0.26</v>
      </c>
      <c r="F8" s="63">
        <v>-0.13</v>
      </c>
      <c r="G8" s="63">
        <v>-0.13</v>
      </c>
      <c r="H8" s="63">
        <v>-0.13</v>
      </c>
      <c r="I8" s="63">
        <v>-0.13</v>
      </c>
      <c r="J8" s="60">
        <v>-0.39</v>
      </c>
      <c r="K8" s="61">
        <v>-0.39</v>
      </c>
      <c r="L8" s="61">
        <v>-0.39</v>
      </c>
      <c r="M8" s="62">
        <v>-0.39</v>
      </c>
    </row>
    <row r="9" spans="1:13" x14ac:dyDescent="0.25">
      <c r="A9" t="s">
        <v>75</v>
      </c>
      <c r="B9" s="60">
        <v>300</v>
      </c>
      <c r="C9" s="61">
        <v>1000</v>
      </c>
      <c r="D9" s="61">
        <v>300</v>
      </c>
      <c r="E9" s="62">
        <v>300</v>
      </c>
      <c r="F9" s="63">
        <v>300</v>
      </c>
      <c r="G9" s="63">
        <v>1000</v>
      </c>
      <c r="H9" s="63">
        <v>300</v>
      </c>
      <c r="I9" s="63">
        <v>300</v>
      </c>
      <c r="J9" s="60">
        <v>300</v>
      </c>
      <c r="K9" s="61">
        <v>1000</v>
      </c>
      <c r="L9" s="61">
        <v>300</v>
      </c>
      <c r="M9" s="62">
        <v>300</v>
      </c>
    </row>
    <row r="10" spans="1:13" x14ac:dyDescent="0.25">
      <c r="A10" t="s">
        <v>76</v>
      </c>
      <c r="B10" s="65">
        <f>B8/3</f>
        <v>-8.666666666666667E-2</v>
      </c>
      <c r="C10" s="66">
        <f t="shared" ref="C10:M10" si="0">C8/3</f>
        <v>-8.666666666666667E-2</v>
      </c>
      <c r="D10" s="66">
        <f t="shared" si="0"/>
        <v>-8.666666666666667E-2</v>
      </c>
      <c r="E10" s="67">
        <f t="shared" si="0"/>
        <v>-8.666666666666667E-2</v>
      </c>
      <c r="F10" s="68">
        <f t="shared" si="0"/>
        <v>-4.3333333333333335E-2</v>
      </c>
      <c r="G10" s="68">
        <f t="shared" si="0"/>
        <v>-4.3333333333333335E-2</v>
      </c>
      <c r="H10" s="68">
        <f t="shared" si="0"/>
        <v>-4.3333333333333335E-2</v>
      </c>
      <c r="I10" s="68">
        <f t="shared" si="0"/>
        <v>-4.3333333333333335E-2</v>
      </c>
      <c r="J10" s="65">
        <f t="shared" si="0"/>
        <v>-0.13</v>
      </c>
      <c r="K10" s="66">
        <f t="shared" si="0"/>
        <v>-0.13</v>
      </c>
      <c r="L10" s="66">
        <f t="shared" si="0"/>
        <v>-0.13</v>
      </c>
      <c r="M10" s="67">
        <f t="shared" si="0"/>
        <v>-0.13</v>
      </c>
    </row>
    <row r="11" spans="1:13" x14ac:dyDescent="0.25">
      <c r="A11" t="s">
        <v>77</v>
      </c>
      <c r="B11" s="60">
        <v>300</v>
      </c>
      <c r="C11" s="61">
        <v>300</v>
      </c>
      <c r="D11" s="61">
        <v>1000</v>
      </c>
      <c r="E11" s="62">
        <v>5000</v>
      </c>
      <c r="F11" s="63">
        <v>300</v>
      </c>
      <c r="G11" s="63">
        <v>300</v>
      </c>
      <c r="H11" s="63">
        <v>1000</v>
      </c>
      <c r="I11" s="63">
        <v>5000</v>
      </c>
      <c r="J11" s="60">
        <v>300</v>
      </c>
      <c r="K11" s="61">
        <v>300</v>
      </c>
      <c r="L11" s="61">
        <v>1000</v>
      </c>
      <c r="M11" s="62">
        <v>5000</v>
      </c>
    </row>
    <row r="12" spans="1:13" x14ac:dyDescent="0.25">
      <c r="A12" t="s">
        <v>78</v>
      </c>
      <c r="B12" s="60">
        <v>-0.78</v>
      </c>
      <c r="C12" s="61">
        <v>-0.78</v>
      </c>
      <c r="D12" s="61">
        <v>-0.78</v>
      </c>
      <c r="E12" s="62">
        <v>-0.78</v>
      </c>
      <c r="F12" s="63">
        <v>-0.78</v>
      </c>
      <c r="G12" s="63">
        <v>-0.78</v>
      </c>
      <c r="H12" s="63">
        <v>-0.78</v>
      </c>
      <c r="I12" s="63">
        <v>-0.78</v>
      </c>
      <c r="J12" s="60">
        <v>-0.78</v>
      </c>
      <c r="K12" s="61">
        <v>-0.78</v>
      </c>
      <c r="L12" s="61">
        <v>-0.78</v>
      </c>
      <c r="M12" s="62">
        <v>-0.78</v>
      </c>
    </row>
    <row r="13" spans="1:13" x14ac:dyDescent="0.25">
      <c r="A13" t="s">
        <v>79</v>
      </c>
      <c r="B13" s="60">
        <f>6000-B9-B11</f>
        <v>5400</v>
      </c>
      <c r="C13" s="61">
        <f t="shared" ref="C13:M13" si="1">6000-C9-C11</f>
        <v>4700</v>
      </c>
      <c r="D13" s="61">
        <f t="shared" si="1"/>
        <v>4700</v>
      </c>
      <c r="E13" s="62">
        <f t="shared" si="1"/>
        <v>700</v>
      </c>
      <c r="F13" s="63">
        <f t="shared" si="1"/>
        <v>5400</v>
      </c>
      <c r="G13" s="63">
        <f t="shared" si="1"/>
        <v>4700</v>
      </c>
      <c r="H13" s="63">
        <f t="shared" si="1"/>
        <v>4700</v>
      </c>
      <c r="I13" s="63">
        <f t="shared" si="1"/>
        <v>700</v>
      </c>
      <c r="J13" s="60">
        <f t="shared" si="1"/>
        <v>5400</v>
      </c>
      <c r="K13" s="61">
        <f t="shared" si="1"/>
        <v>4700</v>
      </c>
      <c r="L13" s="61">
        <f t="shared" si="1"/>
        <v>4700</v>
      </c>
      <c r="M13" s="62">
        <f t="shared" si="1"/>
        <v>700</v>
      </c>
    </row>
    <row r="14" spans="1:13" x14ac:dyDescent="0.25">
      <c r="A14" t="s">
        <v>80</v>
      </c>
      <c r="B14" s="60">
        <v>-0.26</v>
      </c>
      <c r="C14" s="61">
        <v>-0.26</v>
      </c>
      <c r="D14" s="61">
        <v>-0.26</v>
      </c>
      <c r="E14" s="62">
        <v>-0.26</v>
      </c>
      <c r="F14" s="63">
        <f>F8</f>
        <v>-0.13</v>
      </c>
      <c r="G14" s="63">
        <f t="shared" ref="G14:M14" si="2">G8</f>
        <v>-0.13</v>
      </c>
      <c r="H14" s="63">
        <f t="shared" si="2"/>
        <v>-0.13</v>
      </c>
      <c r="I14" s="63">
        <f t="shared" si="2"/>
        <v>-0.13</v>
      </c>
      <c r="J14" s="60">
        <f t="shared" si="2"/>
        <v>-0.39</v>
      </c>
      <c r="K14" s="61">
        <f t="shared" si="2"/>
        <v>-0.39</v>
      </c>
      <c r="L14" s="61">
        <f t="shared" si="2"/>
        <v>-0.39</v>
      </c>
      <c r="M14" s="62">
        <f t="shared" si="2"/>
        <v>-0.39</v>
      </c>
    </row>
    <row r="15" spans="1:13" x14ac:dyDescent="0.25">
      <c r="A15" t="s">
        <v>81</v>
      </c>
      <c r="B15" s="60">
        <v>85</v>
      </c>
      <c r="C15" s="61">
        <v>85</v>
      </c>
      <c r="D15" s="61">
        <v>85</v>
      </c>
      <c r="E15" s="62">
        <v>85</v>
      </c>
      <c r="F15" s="63">
        <v>85</v>
      </c>
      <c r="G15" s="63">
        <v>85</v>
      </c>
      <c r="H15" s="63">
        <v>85</v>
      </c>
      <c r="I15" s="63">
        <v>85</v>
      </c>
      <c r="J15" s="60">
        <v>85</v>
      </c>
      <c r="K15" s="61">
        <v>85</v>
      </c>
      <c r="L15" s="61">
        <v>85</v>
      </c>
      <c r="M15" s="62">
        <v>85</v>
      </c>
    </row>
    <row r="16" spans="1:13" x14ac:dyDescent="0.25">
      <c r="A16" t="s">
        <v>73</v>
      </c>
      <c r="B16" s="60">
        <v>15</v>
      </c>
      <c r="C16" s="61">
        <v>15</v>
      </c>
      <c r="D16" s="61">
        <v>15</v>
      </c>
      <c r="E16" s="62">
        <v>15</v>
      </c>
      <c r="F16" s="63">
        <v>15</v>
      </c>
      <c r="G16" s="63">
        <v>15</v>
      </c>
      <c r="H16" s="63">
        <v>15</v>
      </c>
      <c r="I16" s="63">
        <v>15</v>
      </c>
      <c r="J16" s="60">
        <v>15</v>
      </c>
      <c r="K16" s="61">
        <v>15</v>
      </c>
      <c r="L16" s="61">
        <v>15</v>
      </c>
      <c r="M16" s="62">
        <v>15</v>
      </c>
    </row>
    <row r="18" spans="1:13" x14ac:dyDescent="0.25">
      <c r="A18" t="s">
        <v>82</v>
      </c>
      <c r="B18" s="69">
        <f>-0.5*B5*(B7/(B6-B7))*B8*B7/1000</f>
        <v>8.6666666666666661</v>
      </c>
      <c r="C18" s="70">
        <f t="shared" ref="C18:M18" si="3">-0.5*C5*(C7/(C6-C7))*C8*C7/1000</f>
        <v>8.6666666666666661</v>
      </c>
      <c r="D18" s="70">
        <f t="shared" si="3"/>
        <v>8.6666666666666661</v>
      </c>
      <c r="E18" s="71">
        <f t="shared" si="3"/>
        <v>8.6666666666666661</v>
      </c>
      <c r="F18" s="72">
        <f t="shared" si="3"/>
        <v>4.333333333333333</v>
      </c>
      <c r="G18" s="72">
        <f t="shared" si="3"/>
        <v>4.333333333333333</v>
      </c>
      <c r="H18" s="72">
        <f t="shared" si="3"/>
        <v>4.333333333333333</v>
      </c>
      <c r="I18" s="72">
        <f t="shared" si="3"/>
        <v>4.333333333333333</v>
      </c>
      <c r="J18" s="69">
        <f t="shared" si="3"/>
        <v>13</v>
      </c>
      <c r="K18" s="70">
        <f t="shared" si="3"/>
        <v>13</v>
      </c>
      <c r="L18" s="70">
        <f t="shared" si="3"/>
        <v>13</v>
      </c>
      <c r="M18" s="71">
        <f t="shared" si="3"/>
        <v>13</v>
      </c>
    </row>
    <row r="19" spans="1:13" x14ac:dyDescent="0.25">
      <c r="A19" t="s">
        <v>83</v>
      </c>
      <c r="B19" s="69">
        <f>-0.5*B9*(B16/(B15-B16))*B10*B16/1000</f>
        <v>4.1785714285714287E-2</v>
      </c>
      <c r="C19" s="70">
        <f t="shared" ref="C19:M19" si="4">-0.5*C9*(C16/(C15-C16))*C10*C16/1000</f>
        <v>0.13928571428571432</v>
      </c>
      <c r="D19" s="70">
        <f t="shared" si="4"/>
        <v>4.1785714285714287E-2</v>
      </c>
      <c r="E19" s="71">
        <f t="shared" si="4"/>
        <v>4.1785714285714287E-2</v>
      </c>
      <c r="F19" s="72">
        <f t="shared" si="4"/>
        <v>2.0892857142857144E-2</v>
      </c>
      <c r="G19" s="72">
        <f t="shared" si="4"/>
        <v>6.9642857142857159E-2</v>
      </c>
      <c r="H19" s="72">
        <f t="shared" si="4"/>
        <v>2.0892857142857144E-2</v>
      </c>
      <c r="I19" s="72">
        <f t="shared" si="4"/>
        <v>2.0892857142857144E-2</v>
      </c>
      <c r="J19" s="69">
        <f t="shared" si="4"/>
        <v>6.2678571428571417E-2</v>
      </c>
      <c r="K19" s="70">
        <f t="shared" si="4"/>
        <v>0.20892857142857144</v>
      </c>
      <c r="L19" s="70">
        <f t="shared" si="4"/>
        <v>6.2678571428571417E-2</v>
      </c>
      <c r="M19" s="71">
        <f t="shared" si="4"/>
        <v>6.2678571428571417E-2</v>
      </c>
    </row>
    <row r="20" spans="1:13" x14ac:dyDescent="0.25">
      <c r="A20" t="s">
        <v>84</v>
      </c>
      <c r="B20" s="69">
        <f>-0.5*B11*(B16/(B15-B16))*B12*B16/1000</f>
        <v>0.37607142857142856</v>
      </c>
      <c r="C20" s="70">
        <f t="shared" ref="C20:M20" si="5">-0.5*C11*(C16/(C15-C16))*C12*C16/1000</f>
        <v>0.37607142857142856</v>
      </c>
      <c r="D20" s="70">
        <f t="shared" si="5"/>
        <v>1.2535714285714283</v>
      </c>
      <c r="E20" s="71">
        <f t="shared" si="5"/>
        <v>6.2678571428571423</v>
      </c>
      <c r="F20" s="72">
        <f t="shared" si="5"/>
        <v>0.37607142857142856</v>
      </c>
      <c r="G20" s="72">
        <f t="shared" si="5"/>
        <v>0.37607142857142856</v>
      </c>
      <c r="H20" s="72">
        <f t="shared" si="5"/>
        <v>1.2535714285714283</v>
      </c>
      <c r="I20" s="72">
        <f t="shared" si="5"/>
        <v>6.2678571428571423</v>
      </c>
      <c r="J20" s="69">
        <f t="shared" si="5"/>
        <v>0.37607142857142856</v>
      </c>
      <c r="K20" s="70">
        <f t="shared" si="5"/>
        <v>0.37607142857142856</v>
      </c>
      <c r="L20" s="70">
        <f t="shared" si="5"/>
        <v>1.2535714285714283</v>
      </c>
      <c r="M20" s="71">
        <f t="shared" si="5"/>
        <v>6.2678571428571423</v>
      </c>
    </row>
    <row r="21" spans="1:13" x14ac:dyDescent="0.25">
      <c r="A21" t="s">
        <v>85</v>
      </c>
      <c r="B21" s="69">
        <f>-0.5*B13*(B16/(B15-B16))*B14*B16/1000</f>
        <v>2.2564285714285712</v>
      </c>
      <c r="C21" s="70">
        <f t="shared" ref="C21:M21" si="6">-0.5*C13*(C16/(C15-C16))*C14*C16/1000</f>
        <v>1.9639285714285712</v>
      </c>
      <c r="D21" s="70">
        <f t="shared" si="6"/>
        <v>1.9639285714285712</v>
      </c>
      <c r="E21" s="71">
        <f t="shared" si="6"/>
        <v>0.29249999999999998</v>
      </c>
      <c r="F21" s="72">
        <f t="shared" si="6"/>
        <v>1.1282142857142856</v>
      </c>
      <c r="G21" s="72">
        <f t="shared" si="6"/>
        <v>0.98196428571428562</v>
      </c>
      <c r="H21" s="72">
        <f t="shared" si="6"/>
        <v>0.98196428571428562</v>
      </c>
      <c r="I21" s="72">
        <f t="shared" si="6"/>
        <v>0.14624999999999999</v>
      </c>
      <c r="J21" s="69">
        <f t="shared" si="6"/>
        <v>3.3846428571428571</v>
      </c>
      <c r="K21" s="70">
        <f t="shared" si="6"/>
        <v>2.9458928571428569</v>
      </c>
      <c r="L21" s="70">
        <f t="shared" si="6"/>
        <v>2.9458928571428569</v>
      </c>
      <c r="M21" s="71">
        <f t="shared" si="6"/>
        <v>0.43874999999999997</v>
      </c>
    </row>
    <row r="22" spans="1:13" x14ac:dyDescent="0.25">
      <c r="B22" s="69"/>
      <c r="C22" s="70"/>
      <c r="D22" s="70"/>
      <c r="E22" s="71"/>
      <c r="F22" s="72"/>
      <c r="G22" s="72"/>
      <c r="H22" s="72"/>
      <c r="I22" s="72"/>
      <c r="J22" s="69"/>
      <c r="K22" s="70"/>
      <c r="L22" s="70"/>
      <c r="M22" s="71"/>
    </row>
    <row r="23" spans="1:13" s="1" customFormat="1" x14ac:dyDescent="0.25">
      <c r="A23" s="1" t="s">
        <v>86</v>
      </c>
      <c r="B23" s="73">
        <f>SUM(B18:B21)</f>
        <v>11.34095238095238</v>
      </c>
      <c r="C23" s="74">
        <f t="shared" ref="C23:M23" si="7">SUM(C18:C21)</f>
        <v>11.14595238095238</v>
      </c>
      <c r="D23" s="74">
        <f t="shared" si="7"/>
        <v>11.92595238095238</v>
      </c>
      <c r="E23" s="75">
        <f t="shared" si="7"/>
        <v>15.268809523809523</v>
      </c>
      <c r="F23" s="76">
        <f t="shared" si="7"/>
        <v>5.8585119047619045</v>
      </c>
      <c r="G23" s="76">
        <f t="shared" si="7"/>
        <v>5.7610119047619044</v>
      </c>
      <c r="H23" s="76">
        <f t="shared" si="7"/>
        <v>6.5897619047619038</v>
      </c>
      <c r="I23" s="76">
        <f t="shared" si="7"/>
        <v>10.768333333333333</v>
      </c>
      <c r="J23" s="73">
        <f t="shared" si="7"/>
        <v>16.823392857142856</v>
      </c>
      <c r="K23" s="74">
        <f t="shared" si="7"/>
        <v>16.530892857142859</v>
      </c>
      <c r="L23" s="74">
        <f t="shared" si="7"/>
        <v>17.262142857142855</v>
      </c>
      <c r="M23" s="75">
        <f t="shared" si="7"/>
        <v>19.769285714285715</v>
      </c>
    </row>
    <row r="24" spans="1:13" x14ac:dyDescent="0.25">
      <c r="A24" s="1"/>
      <c r="B24" s="73"/>
      <c r="C24" s="74"/>
      <c r="D24" s="74"/>
      <c r="E24" s="75"/>
      <c r="F24" s="76"/>
      <c r="G24" s="76"/>
      <c r="H24" s="76"/>
      <c r="I24" s="76"/>
      <c r="J24" s="73"/>
      <c r="K24" s="74"/>
      <c r="L24" s="74"/>
      <c r="M24" s="75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1"/>
  <sheetViews>
    <sheetView workbookViewId="0">
      <pane ySplit="4" topLeftCell="A5" activePane="bottomLeft" state="frozen"/>
      <selection activeCell="A36" sqref="A36"/>
      <selection pane="bottomLeft" activeCell="A37" sqref="A37"/>
    </sheetView>
  </sheetViews>
  <sheetFormatPr defaultRowHeight="15" x14ac:dyDescent="0.25"/>
  <cols>
    <col min="1" max="1" width="58.42578125" customWidth="1"/>
    <col min="2" max="2" width="9.5703125" style="60" bestFit="1" customWidth="1"/>
    <col min="3" max="4" width="9.5703125" style="61" bestFit="1" customWidth="1"/>
    <col min="5" max="5" width="9.5703125" style="62" bestFit="1" customWidth="1"/>
    <col min="6" max="9" width="9.5703125" style="63" bestFit="1" customWidth="1"/>
    <col min="10" max="10" width="9.5703125" style="60" bestFit="1" customWidth="1"/>
    <col min="11" max="12" width="9.5703125" style="61" bestFit="1" customWidth="1"/>
    <col min="13" max="13" width="9.5703125" style="62" bestFit="1" customWidth="1"/>
  </cols>
  <sheetData>
    <row r="1" spans="1:13" x14ac:dyDescent="0.25">
      <c r="A1" s="1" t="s">
        <v>87</v>
      </c>
    </row>
    <row r="3" spans="1:13" x14ac:dyDescent="0.25">
      <c r="A3" t="s">
        <v>62</v>
      </c>
      <c r="B3" s="60" t="s">
        <v>63</v>
      </c>
      <c r="F3" s="11" t="s">
        <v>64</v>
      </c>
      <c r="J3" s="64" t="s">
        <v>65</v>
      </c>
    </row>
    <row r="4" spans="1:13" x14ac:dyDescent="0.25">
      <c r="A4" t="s">
        <v>66</v>
      </c>
      <c r="B4" s="60" t="s">
        <v>67</v>
      </c>
      <c r="C4" s="61" t="s">
        <v>68</v>
      </c>
      <c r="D4" s="61" t="s">
        <v>69</v>
      </c>
      <c r="E4" s="62" t="s">
        <v>70</v>
      </c>
      <c r="F4" s="63" t="s">
        <v>67</v>
      </c>
      <c r="G4" s="63" t="s">
        <v>68</v>
      </c>
      <c r="H4" s="63" t="s">
        <v>69</v>
      </c>
      <c r="I4" s="63" t="s">
        <v>70</v>
      </c>
      <c r="J4" s="60" t="s">
        <v>67</v>
      </c>
      <c r="K4" s="61" t="s">
        <v>68</v>
      </c>
      <c r="L4" s="61" t="s">
        <v>69</v>
      </c>
      <c r="M4" s="62" t="s">
        <v>70</v>
      </c>
    </row>
    <row r="5" spans="1:13" s="77" customFormat="1" x14ac:dyDescent="0.25">
      <c r="A5" s="77" t="s">
        <v>88</v>
      </c>
      <c r="B5" s="78">
        <f>(-1/B13)*('Consumption reduction - DWL'!B6-'Consumption reduction - DWL'!B7)/('Consumption reduction - DWL'!B6-'Consumption reduction - DWL'!B7)</f>
        <v>3.8461538461538458</v>
      </c>
      <c r="C5" s="79">
        <f>(-1/C13)*('Consumption reduction - DWL'!C6-'Consumption reduction - DWL'!C7)/('Consumption reduction - DWL'!C6-'Consumption reduction - DWL'!C7)</f>
        <v>3.8461538461538458</v>
      </c>
      <c r="D5" s="79">
        <f>(-1/D13)*('Consumption reduction - DWL'!D6-'Consumption reduction - DWL'!D7)/('Consumption reduction - DWL'!D6-'Consumption reduction - DWL'!D7)</f>
        <v>3.8461538461538458</v>
      </c>
      <c r="E5" s="80">
        <f>(-1/E13)*('Consumption reduction - DWL'!E6-'Consumption reduction - DWL'!E7)/('Consumption reduction - DWL'!E6-'Consumption reduction - DWL'!E7)</f>
        <v>3.8461538461538458</v>
      </c>
      <c r="F5" s="81">
        <f>(-1/F13)*('Consumption reduction - DWL'!F6-'Consumption reduction - DWL'!F7)/('Consumption reduction - DWL'!F6-'Consumption reduction - DWL'!F7)</f>
        <v>7.6923076923076916</v>
      </c>
      <c r="G5" s="81">
        <f>(-1/G13)*('Consumption reduction - DWL'!G6-'Consumption reduction - DWL'!G7)/('Consumption reduction - DWL'!G6-'Consumption reduction - DWL'!G7)</f>
        <v>7.6923076923076916</v>
      </c>
      <c r="H5" s="81">
        <f>(-1/H13)*('Consumption reduction - DWL'!H6-'Consumption reduction - DWL'!H7)/('Consumption reduction - DWL'!H6-'Consumption reduction - DWL'!H7)</f>
        <v>7.6923076923076916</v>
      </c>
      <c r="I5" s="81">
        <f>(-1/I13)*('Consumption reduction - DWL'!I6-'Consumption reduction - DWL'!I7)/('Consumption reduction - DWL'!I6-'Consumption reduction - DWL'!I7)</f>
        <v>7.6923076923076916</v>
      </c>
      <c r="J5" s="78">
        <f>(-1/J13)*('Consumption reduction - DWL'!J6-'Consumption reduction - DWL'!J7)/('Consumption reduction - DWL'!J6-'Consumption reduction - DWL'!J7)</f>
        <v>2.5641025641025639</v>
      </c>
      <c r="K5" s="79">
        <f>(-1/K13)*('Consumption reduction - DWL'!K6-'Consumption reduction - DWL'!K7)/('Consumption reduction - DWL'!K6-'Consumption reduction - DWL'!K7)</f>
        <v>2.5641025641025639</v>
      </c>
      <c r="L5" s="79">
        <f>(-1/L13)*('Consumption reduction - DWL'!L6-'Consumption reduction - DWL'!L7)/('Consumption reduction - DWL'!L6-'Consumption reduction - DWL'!L7)</f>
        <v>2.5641025641025639</v>
      </c>
      <c r="M5" s="80">
        <f>(-1/M13)*('Consumption reduction - DWL'!M6-'Consumption reduction - DWL'!M7)/('Consumption reduction - DWL'!M6-'Consumption reduction - DWL'!M7)</f>
        <v>2.5641025641025639</v>
      </c>
    </row>
    <row r="6" spans="1:13" s="77" customFormat="1" x14ac:dyDescent="0.25">
      <c r="A6" s="77" t="s">
        <v>89</v>
      </c>
      <c r="B6" s="78">
        <f>-1/B15*('Consumption reduction - DWL'!B15-'Consumption reduction - DWL'!B16)/('Consumption reduction - DWL'!B6-'Consumption reduction - DWL'!B7)</f>
        <v>4.4871794871794872</v>
      </c>
      <c r="C6" s="79">
        <f>-1/C15*('Consumption reduction - DWL'!C15-'Consumption reduction - DWL'!C16)/('Consumption reduction - DWL'!C6-'Consumption reduction - DWL'!C7)</f>
        <v>4.4871794871794872</v>
      </c>
      <c r="D6" s="79">
        <f>-1/D15*('Consumption reduction - DWL'!D15-'Consumption reduction - DWL'!D16)/('Consumption reduction - DWL'!D6-'Consumption reduction - DWL'!D7)</f>
        <v>4.4871794871794872</v>
      </c>
      <c r="E6" s="80">
        <f>-1/E15*('Consumption reduction - DWL'!E15-'Consumption reduction - DWL'!E16)/('Consumption reduction - DWL'!E6-'Consumption reduction - DWL'!E7)</f>
        <v>4.4871794871794872</v>
      </c>
      <c r="F6" s="81">
        <f>-1/F15*('Consumption reduction - DWL'!F15-'Consumption reduction - DWL'!F16)/('Consumption reduction - DWL'!F6-'Consumption reduction - DWL'!F7)</f>
        <v>8.9743589743589745</v>
      </c>
      <c r="G6" s="81">
        <f>-1/G15*('Consumption reduction - DWL'!G15-'Consumption reduction - DWL'!G16)/('Consumption reduction - DWL'!G6-'Consumption reduction - DWL'!G7)</f>
        <v>8.9743589743589745</v>
      </c>
      <c r="H6" s="81">
        <f>-1/H15*('Consumption reduction - DWL'!H15-'Consumption reduction - DWL'!H16)/('Consumption reduction - DWL'!H6-'Consumption reduction - DWL'!H7)</f>
        <v>8.9743589743589745</v>
      </c>
      <c r="I6" s="81">
        <f>-1/I15*('Consumption reduction - DWL'!I15-'Consumption reduction - DWL'!I16)/('Consumption reduction - DWL'!I6-'Consumption reduction - DWL'!I7)</f>
        <v>8.9743589743589745</v>
      </c>
      <c r="J6" s="78">
        <f>-1/J15*('Consumption reduction - DWL'!J15-'Consumption reduction - DWL'!J16)/('Consumption reduction - DWL'!J6-'Consumption reduction - DWL'!J7)</f>
        <v>2.9914529914529915</v>
      </c>
      <c r="K6" s="79">
        <f>-1/K15*('Consumption reduction - DWL'!K15-'Consumption reduction - DWL'!K16)/('Consumption reduction - DWL'!K6-'Consumption reduction - DWL'!K7)</f>
        <v>2.9914529914529915</v>
      </c>
      <c r="L6" s="79">
        <f>-1/L15*('Consumption reduction - DWL'!L15-'Consumption reduction - DWL'!L16)/('Consumption reduction - DWL'!L6-'Consumption reduction - DWL'!L7)</f>
        <v>2.9914529914529915</v>
      </c>
      <c r="M6" s="80">
        <f>-1/M15*('Consumption reduction - DWL'!M15-'Consumption reduction - DWL'!M16)/('Consumption reduction - DWL'!M6-'Consumption reduction - DWL'!M7)</f>
        <v>2.9914529914529915</v>
      </c>
    </row>
    <row r="7" spans="1:13" s="77" customFormat="1" x14ac:dyDescent="0.25">
      <c r="A7" s="77" t="s">
        <v>90</v>
      </c>
      <c r="B7" s="78">
        <f>-1/B17*('Consumption reduction - DWL'!B15-'Consumption reduction - DWL'!B16)/('Consumption reduction - DWL'!B6-'Consumption reduction - DWL'!B7)</f>
        <v>0.49857549857549854</v>
      </c>
      <c r="C7" s="79">
        <f>-1/C17*('Consumption reduction - DWL'!C15-'Consumption reduction - DWL'!C16)/('Consumption reduction - DWL'!C6-'Consumption reduction - DWL'!C7)</f>
        <v>0.49857549857549854</v>
      </c>
      <c r="D7" s="79">
        <f>-1/D17*('Consumption reduction - DWL'!D15-'Consumption reduction - DWL'!D16)/('Consumption reduction - DWL'!D6-'Consumption reduction - DWL'!D7)</f>
        <v>0.49857549857549854</v>
      </c>
      <c r="E7" s="80">
        <f>-1/E17*('Consumption reduction - DWL'!E15-'Consumption reduction - DWL'!E16)/('Consumption reduction - DWL'!E6-'Consumption reduction - DWL'!E7)</f>
        <v>0.49857549857549854</v>
      </c>
      <c r="F7" s="81">
        <f>-1/F17*('Consumption reduction - DWL'!F15-'Consumption reduction - DWL'!F16)/('Consumption reduction - DWL'!F6-'Consumption reduction - DWL'!F7)</f>
        <v>0.49857549857549854</v>
      </c>
      <c r="G7" s="81">
        <f>-1/G17*('Consumption reduction - DWL'!G15-'Consumption reduction - DWL'!G16)/('Consumption reduction - DWL'!G6-'Consumption reduction - DWL'!G7)</f>
        <v>0.49857549857549854</v>
      </c>
      <c r="H7" s="81">
        <f>-1/H17*('Consumption reduction - DWL'!H15-'Consumption reduction - DWL'!H16)/('Consumption reduction - DWL'!H6-'Consumption reduction - DWL'!H7)</f>
        <v>0.49857549857549854</v>
      </c>
      <c r="I7" s="81">
        <f>-1/I17*('Consumption reduction - DWL'!I15-'Consumption reduction - DWL'!I16)/('Consumption reduction - DWL'!I6-'Consumption reduction - DWL'!I7)</f>
        <v>0.49857549857549854</v>
      </c>
      <c r="J7" s="78">
        <f>-1/J17*('Consumption reduction - DWL'!J15-'Consumption reduction - DWL'!J16)/('Consumption reduction - DWL'!J6-'Consumption reduction - DWL'!J7)</f>
        <v>0.49857549857549854</v>
      </c>
      <c r="K7" s="79">
        <f>-1/K17*('Consumption reduction - DWL'!K15-'Consumption reduction - DWL'!K16)/('Consumption reduction - DWL'!K6-'Consumption reduction - DWL'!K7)</f>
        <v>0.49857549857549854</v>
      </c>
      <c r="L7" s="79">
        <f>-1/L17*('Consumption reduction - DWL'!L15-'Consumption reduction - DWL'!L16)/('Consumption reduction - DWL'!L6-'Consumption reduction - DWL'!L7)</f>
        <v>0.49857549857549854</v>
      </c>
      <c r="M7" s="80">
        <f>-1/M17*('Consumption reduction - DWL'!M15-'Consumption reduction - DWL'!M16)/('Consumption reduction - DWL'!M6-'Consumption reduction - DWL'!M7)</f>
        <v>0.49857549857549854</v>
      </c>
    </row>
    <row r="8" spans="1:13" s="77" customFormat="1" x14ac:dyDescent="0.25">
      <c r="A8" s="77" t="s">
        <v>91</v>
      </c>
      <c r="B8" s="78">
        <f>(B5*B10+B6*B14+B7*B16)/('Consumption reduction - DWL'!B5*'Consumption reduction - DWL'!B7+'Consumption reduction - DWL'!B9*'Consumption reduction - DWL'!B16+'Consumption reduction - DWL'!B11*'Consumption reduction - DWL'!B16)</f>
        <v>0.19192174364588158</v>
      </c>
      <c r="C8" s="79">
        <f>(C5*C10+C6*C14+C7*C16)/('Consumption reduction - DWL'!C5*'Consumption reduction - DWL'!C7+'Consumption reduction - DWL'!C9*'Consumption reduction - DWL'!C16+'Consumption reduction - DWL'!C11*'Consumption reduction - DWL'!C16)</f>
        <v>0.19373909204417677</v>
      </c>
      <c r="D8" s="79">
        <f>(D5*D10+D6*D14+D7*D16)/('Consumption reduction - DWL'!D5*'Consumption reduction - DWL'!D7+'Consumption reduction - DWL'!D9*'Consumption reduction - DWL'!D16+'Consumption reduction - DWL'!D11*'Consumption reduction - DWL'!D16)</f>
        <v>0.1892321948819124</v>
      </c>
      <c r="E8" s="80">
        <f>(E5*E10+E6*E14+E7*E16)/('Consumption reduction - DWL'!E5*'Consumption reduction - DWL'!E7+'Consumption reduction - DWL'!E9*'Consumption reduction - DWL'!E16+'Consumption reduction - DWL'!E11*'Consumption reduction - DWL'!E16)</f>
        <v>0.17545790540639694</v>
      </c>
      <c r="F8" s="81">
        <f>(F5*F10+F6*F14+F7*F16)/('Consumption reduction - DWL'!F5*'Consumption reduction - DWL'!F7+'Consumption reduction - DWL'!F9*'Consumption reduction - DWL'!F16+'Consumption reduction - DWL'!F11*'Consumption reduction - DWL'!F16)</f>
        <v>0.38359788359788355</v>
      </c>
      <c r="G8" s="81">
        <f>(G5*G10+G6*G14+G7*G16)/('Consumption reduction - DWL'!G5*'Consumption reduction - DWL'!G7+'Consumption reduction - DWL'!G9*'Consumption reduction - DWL'!G16+'Consumption reduction - DWL'!G11*'Consumption reduction - DWL'!G16)</f>
        <v>0.38723674316894652</v>
      </c>
      <c r="H8" s="81">
        <f>(H5*H10+H6*H14+H7*H16)/('Consumption reduction - DWL'!H5*'Consumption reduction - DWL'!H7+'Consumption reduction - DWL'!H9*'Consumption reduction - DWL'!H16+'Consumption reduction - DWL'!H11*'Consumption reduction - DWL'!H16)</f>
        <v>0.37765958669913469</v>
      </c>
      <c r="I8" s="81">
        <f>(I5*I10+I6*I14+I7*I16)/('Consumption reduction - DWL'!I5*'Consumption reduction - DWL'!I7+'Consumption reduction - DWL'!I9*'Consumption reduction - DWL'!I16+'Consumption reduction - DWL'!I11*'Consumption reduction - DWL'!I16)</f>
        <v>0.34724711693070776</v>
      </c>
      <c r="J8" s="78">
        <f>(J5*J10+J6*J14+J7*J16)/('Consumption reduction - DWL'!J5*'Consumption reduction - DWL'!J7+'Consumption reduction - DWL'!J9*'Consumption reduction - DWL'!J16+'Consumption reduction - DWL'!J11*'Consumption reduction - DWL'!J16)</f>
        <v>0.12802969699521424</v>
      </c>
      <c r="K8" s="79">
        <f>(K5*K10+K6*K14+K7*K16)/('Consumption reduction - DWL'!K5*'Consumption reduction - DWL'!K7+'Consumption reduction - DWL'!K9*'Consumption reduction - DWL'!K16+'Consumption reduction - DWL'!K11*'Consumption reduction - DWL'!K16)</f>
        <v>0.12923987500258685</v>
      </c>
      <c r="L8" s="79">
        <f>(L5*L10+L6*L14+L7*L16)/('Consumption reduction - DWL'!L5*'Consumption reduction - DWL'!L7+'Consumption reduction - DWL'!L9*'Consumption reduction - DWL'!L16+'Consumption reduction - DWL'!L11*'Consumption reduction - DWL'!L16)</f>
        <v>0.12642306427617162</v>
      </c>
      <c r="M8" s="80">
        <f>(M5*M10+M6*M14+M7*M16)/('Consumption reduction - DWL'!M5*'Consumption reduction - DWL'!M7+'Consumption reduction - DWL'!M9*'Consumption reduction - DWL'!M16+'Consumption reduction - DWL'!M11*'Consumption reduction - DWL'!M16)</f>
        <v>0.11819483489829331</v>
      </c>
    </row>
    <row r="10" spans="1:13" x14ac:dyDescent="0.25">
      <c r="A10" t="s">
        <v>71</v>
      </c>
      <c r="B10" s="60">
        <v>30000</v>
      </c>
      <c r="C10" s="61">
        <v>30000</v>
      </c>
      <c r="D10" s="61">
        <v>30000</v>
      </c>
      <c r="E10" s="62">
        <v>30000</v>
      </c>
      <c r="F10" s="63">
        <v>30000</v>
      </c>
      <c r="G10" s="63">
        <v>30000</v>
      </c>
      <c r="H10" s="63">
        <v>30000</v>
      </c>
      <c r="I10" s="63">
        <v>30000</v>
      </c>
      <c r="J10" s="60">
        <v>30000</v>
      </c>
      <c r="K10" s="61">
        <v>30000</v>
      </c>
      <c r="L10" s="61">
        <v>30000</v>
      </c>
      <c r="M10" s="62">
        <v>30000</v>
      </c>
    </row>
    <row r="11" spans="1:13" x14ac:dyDescent="0.25">
      <c r="A11" t="s">
        <v>72</v>
      </c>
      <c r="B11" s="69">
        <f>180+B12</f>
        <v>200.04021937842779</v>
      </c>
      <c r="C11" s="70">
        <f t="shared" ref="C11:M11" si="0">180+C12</f>
        <v>199.85223428876625</v>
      </c>
      <c r="D11" s="70">
        <f t="shared" si="0"/>
        <v>200.32505012455192</v>
      </c>
      <c r="E11" s="71">
        <f t="shared" si="0"/>
        <v>201.92066431686482</v>
      </c>
      <c r="F11" s="72">
        <f t="shared" si="0"/>
        <v>200.053050397878</v>
      </c>
      <c r="G11" s="72">
        <f t="shared" si="0"/>
        <v>199.86461209584039</v>
      </c>
      <c r="H11" s="72">
        <f t="shared" si="0"/>
        <v>200.36836337067706</v>
      </c>
      <c r="I11" s="72">
        <f t="shared" si="0"/>
        <v>202.1522579087177</v>
      </c>
      <c r="J11" s="69">
        <f t="shared" si="0"/>
        <v>200.0274047684297</v>
      </c>
      <c r="K11" s="70">
        <f t="shared" si="0"/>
        <v>199.83987189751801</v>
      </c>
      <c r="L11" s="70">
        <f t="shared" si="0"/>
        <v>200.28192069843578</v>
      </c>
      <c r="M11" s="71">
        <f t="shared" si="0"/>
        <v>201.69386307201134</v>
      </c>
    </row>
    <row r="12" spans="1:13" s="1" customFormat="1" x14ac:dyDescent="0.25">
      <c r="A12" s="1" t="s">
        <v>73</v>
      </c>
      <c r="B12" s="73">
        <f t="shared" ref="B12:M12" si="1">B5/B8</f>
        <v>20.040219378427786</v>
      </c>
      <c r="C12" s="74">
        <f t="shared" si="1"/>
        <v>19.852234288766244</v>
      </c>
      <c r="D12" s="74">
        <f t="shared" si="1"/>
        <v>20.325050124551915</v>
      </c>
      <c r="E12" s="75">
        <f t="shared" si="1"/>
        <v>21.920664316864805</v>
      </c>
      <c r="F12" s="76">
        <f t="shared" si="1"/>
        <v>20.053050397877985</v>
      </c>
      <c r="G12" s="76">
        <f t="shared" si="1"/>
        <v>19.864612095840386</v>
      </c>
      <c r="H12" s="76">
        <f t="shared" si="1"/>
        <v>20.368363370677059</v>
      </c>
      <c r="I12" s="76">
        <f t="shared" si="1"/>
        <v>22.152257908717701</v>
      </c>
      <c r="J12" s="73">
        <f t="shared" si="1"/>
        <v>20.027404768429705</v>
      </c>
      <c r="K12" s="74">
        <f t="shared" si="1"/>
        <v>19.839871897518016</v>
      </c>
      <c r="L12" s="74">
        <f t="shared" si="1"/>
        <v>20.281920698435794</v>
      </c>
      <c r="M12" s="75">
        <f t="shared" si="1"/>
        <v>21.69386307201135</v>
      </c>
    </row>
    <row r="13" spans="1:13" x14ac:dyDescent="0.25">
      <c r="A13" t="s">
        <v>74</v>
      </c>
      <c r="B13" s="60">
        <v>-0.26</v>
      </c>
      <c r="C13" s="61">
        <v>-0.26</v>
      </c>
      <c r="D13" s="61">
        <v>-0.26</v>
      </c>
      <c r="E13" s="62">
        <v>-0.26</v>
      </c>
      <c r="F13" s="63">
        <v>-0.13</v>
      </c>
      <c r="G13" s="63">
        <v>-0.13</v>
      </c>
      <c r="H13" s="63">
        <v>-0.13</v>
      </c>
      <c r="I13" s="63">
        <v>-0.13</v>
      </c>
      <c r="J13" s="60">
        <v>-0.39</v>
      </c>
      <c r="K13" s="61">
        <v>-0.39</v>
      </c>
      <c r="L13" s="61">
        <v>-0.39</v>
      </c>
      <c r="M13" s="62">
        <v>-0.39</v>
      </c>
    </row>
    <row r="14" spans="1:13" x14ac:dyDescent="0.25">
      <c r="A14" t="s">
        <v>75</v>
      </c>
      <c r="B14" s="60">
        <v>300</v>
      </c>
      <c r="C14" s="61">
        <v>1000</v>
      </c>
      <c r="D14" s="61">
        <v>300</v>
      </c>
      <c r="E14" s="62">
        <v>300</v>
      </c>
      <c r="F14" s="63">
        <v>300</v>
      </c>
      <c r="G14" s="63">
        <v>1000</v>
      </c>
      <c r="H14" s="63">
        <v>300</v>
      </c>
      <c r="I14" s="63">
        <v>300</v>
      </c>
      <c r="J14" s="60">
        <v>300</v>
      </c>
      <c r="K14" s="61">
        <v>1000</v>
      </c>
      <c r="L14" s="61">
        <v>300</v>
      </c>
      <c r="M14" s="62">
        <v>300</v>
      </c>
    </row>
    <row r="15" spans="1:13" x14ac:dyDescent="0.25">
      <c r="A15" t="s">
        <v>76</v>
      </c>
      <c r="B15" s="65">
        <f>B13/3</f>
        <v>-8.666666666666667E-2</v>
      </c>
      <c r="C15" s="66">
        <f t="shared" ref="C15:M15" si="2">C13/3</f>
        <v>-8.666666666666667E-2</v>
      </c>
      <c r="D15" s="66">
        <f t="shared" si="2"/>
        <v>-8.666666666666667E-2</v>
      </c>
      <c r="E15" s="67">
        <f t="shared" si="2"/>
        <v>-8.666666666666667E-2</v>
      </c>
      <c r="F15" s="68">
        <f t="shared" si="2"/>
        <v>-4.3333333333333335E-2</v>
      </c>
      <c r="G15" s="68">
        <f t="shared" si="2"/>
        <v>-4.3333333333333335E-2</v>
      </c>
      <c r="H15" s="68">
        <f t="shared" si="2"/>
        <v>-4.3333333333333335E-2</v>
      </c>
      <c r="I15" s="68">
        <f t="shared" si="2"/>
        <v>-4.3333333333333335E-2</v>
      </c>
      <c r="J15" s="65">
        <f t="shared" si="2"/>
        <v>-0.13</v>
      </c>
      <c r="K15" s="66">
        <f t="shared" si="2"/>
        <v>-0.13</v>
      </c>
      <c r="L15" s="66">
        <f t="shared" si="2"/>
        <v>-0.13</v>
      </c>
      <c r="M15" s="67">
        <f t="shared" si="2"/>
        <v>-0.13</v>
      </c>
    </row>
    <row r="16" spans="1:13" x14ac:dyDescent="0.25">
      <c r="A16" t="s">
        <v>77</v>
      </c>
      <c r="B16" s="60">
        <v>300</v>
      </c>
      <c r="C16" s="61">
        <v>300</v>
      </c>
      <c r="D16" s="61">
        <v>1000</v>
      </c>
      <c r="E16" s="62">
        <v>5000</v>
      </c>
      <c r="F16" s="63">
        <v>300</v>
      </c>
      <c r="G16" s="63">
        <v>300</v>
      </c>
      <c r="H16" s="63">
        <v>1000</v>
      </c>
      <c r="I16" s="63">
        <v>5000</v>
      </c>
      <c r="J16" s="60">
        <v>300</v>
      </c>
      <c r="K16" s="61">
        <v>300</v>
      </c>
      <c r="L16" s="61">
        <v>1000</v>
      </c>
      <c r="M16" s="62">
        <v>5000</v>
      </c>
    </row>
    <row r="17" spans="1:13" x14ac:dyDescent="0.25">
      <c r="A17" t="s">
        <v>78</v>
      </c>
      <c r="B17" s="60">
        <v>-0.78</v>
      </c>
      <c r="C17" s="61">
        <v>-0.78</v>
      </c>
      <c r="D17" s="61">
        <v>-0.78</v>
      </c>
      <c r="E17" s="62">
        <v>-0.78</v>
      </c>
      <c r="F17" s="63">
        <v>-0.78</v>
      </c>
      <c r="G17" s="63">
        <v>-0.78</v>
      </c>
      <c r="H17" s="63">
        <v>-0.78</v>
      </c>
      <c r="I17" s="63">
        <v>-0.78</v>
      </c>
      <c r="J17" s="60">
        <v>-0.78</v>
      </c>
      <c r="K17" s="61">
        <v>-0.78</v>
      </c>
      <c r="L17" s="61">
        <v>-0.78</v>
      </c>
      <c r="M17" s="62">
        <v>-0.78</v>
      </c>
    </row>
    <row r="18" spans="1:13" x14ac:dyDescent="0.25">
      <c r="A18" t="s">
        <v>79</v>
      </c>
      <c r="B18" s="60">
        <f>6000-B14-B16</f>
        <v>5400</v>
      </c>
      <c r="C18" s="61">
        <f t="shared" ref="C18:M18" si="3">6000-C14-C16</f>
        <v>4700</v>
      </c>
      <c r="D18" s="61">
        <f t="shared" si="3"/>
        <v>4700</v>
      </c>
      <c r="E18" s="62">
        <f t="shared" si="3"/>
        <v>700</v>
      </c>
      <c r="F18" s="63">
        <f t="shared" si="3"/>
        <v>5400</v>
      </c>
      <c r="G18" s="63">
        <f t="shared" si="3"/>
        <v>4700</v>
      </c>
      <c r="H18" s="63">
        <f t="shared" si="3"/>
        <v>4700</v>
      </c>
      <c r="I18" s="63">
        <f t="shared" si="3"/>
        <v>700</v>
      </c>
      <c r="J18" s="60">
        <f t="shared" si="3"/>
        <v>5400</v>
      </c>
      <c r="K18" s="61">
        <f t="shared" si="3"/>
        <v>4700</v>
      </c>
      <c r="L18" s="61">
        <f t="shared" si="3"/>
        <v>4700</v>
      </c>
      <c r="M18" s="62">
        <f t="shared" si="3"/>
        <v>700</v>
      </c>
    </row>
    <row r="19" spans="1:13" x14ac:dyDescent="0.25">
      <c r="A19" t="s">
        <v>80</v>
      </c>
      <c r="B19" s="60">
        <f>B13</f>
        <v>-0.26</v>
      </c>
      <c r="C19" s="61">
        <f t="shared" ref="C19:M19" si="4">C13</f>
        <v>-0.26</v>
      </c>
      <c r="D19" s="61">
        <f t="shared" si="4"/>
        <v>-0.26</v>
      </c>
      <c r="E19" s="62">
        <f t="shared" si="4"/>
        <v>-0.26</v>
      </c>
      <c r="F19" s="63">
        <f t="shared" si="4"/>
        <v>-0.13</v>
      </c>
      <c r="G19" s="63">
        <f t="shared" si="4"/>
        <v>-0.13</v>
      </c>
      <c r="H19" s="63">
        <f t="shared" si="4"/>
        <v>-0.13</v>
      </c>
      <c r="I19" s="63">
        <f t="shared" si="4"/>
        <v>-0.13</v>
      </c>
      <c r="J19" s="60">
        <f t="shared" si="4"/>
        <v>-0.39</v>
      </c>
      <c r="K19" s="61">
        <f t="shared" si="4"/>
        <v>-0.39</v>
      </c>
      <c r="L19" s="61">
        <f t="shared" si="4"/>
        <v>-0.39</v>
      </c>
      <c r="M19" s="62">
        <f t="shared" si="4"/>
        <v>-0.39</v>
      </c>
    </row>
    <row r="20" spans="1:13" x14ac:dyDescent="0.25">
      <c r="A20" t="s">
        <v>92</v>
      </c>
      <c r="B20" s="60">
        <v>70</v>
      </c>
      <c r="C20" s="61">
        <v>70</v>
      </c>
      <c r="D20" s="61">
        <v>70</v>
      </c>
      <c r="E20" s="62">
        <v>70</v>
      </c>
      <c r="F20" s="63">
        <v>70</v>
      </c>
      <c r="G20" s="63">
        <v>70</v>
      </c>
      <c r="H20" s="63">
        <v>70</v>
      </c>
      <c r="I20" s="63">
        <v>70</v>
      </c>
      <c r="J20" s="60">
        <v>70</v>
      </c>
      <c r="K20" s="61">
        <v>70</v>
      </c>
      <c r="L20" s="61">
        <v>70</v>
      </c>
      <c r="M20" s="62">
        <v>70</v>
      </c>
    </row>
    <row r="21" spans="1:13" s="1" customFormat="1" x14ac:dyDescent="0.25">
      <c r="A21" s="1" t="s">
        <v>93</v>
      </c>
      <c r="B21" s="73">
        <f t="shared" ref="B21:M22" si="5">B6/B$8</f>
        <v>23.380255941499087</v>
      </c>
      <c r="C21" s="74">
        <f t="shared" si="5"/>
        <v>23.160940003560622</v>
      </c>
      <c r="D21" s="74">
        <f t="shared" si="5"/>
        <v>23.712558478643903</v>
      </c>
      <c r="E21" s="75">
        <f t="shared" si="5"/>
        <v>25.57410836967561</v>
      </c>
      <c r="F21" s="76">
        <f t="shared" si="5"/>
        <v>23.395225464190986</v>
      </c>
      <c r="G21" s="76">
        <f t="shared" si="5"/>
        <v>23.175380778480452</v>
      </c>
      <c r="H21" s="76">
        <f t="shared" si="5"/>
        <v>23.763090599123238</v>
      </c>
      <c r="I21" s="76">
        <f t="shared" si="5"/>
        <v>25.844300893503988</v>
      </c>
      <c r="J21" s="73">
        <f t="shared" si="5"/>
        <v>23.36530556316799</v>
      </c>
      <c r="K21" s="74">
        <f t="shared" si="5"/>
        <v>23.14651721377102</v>
      </c>
      <c r="L21" s="74">
        <f t="shared" si="5"/>
        <v>23.662240814841763</v>
      </c>
      <c r="M21" s="75">
        <f t="shared" si="5"/>
        <v>25.309506917346578</v>
      </c>
    </row>
    <row r="22" spans="1:13" s="1" customFormat="1" x14ac:dyDescent="0.25">
      <c r="A22" s="1" t="s">
        <v>94</v>
      </c>
      <c r="B22" s="73">
        <f t="shared" si="5"/>
        <v>2.5978062157221204</v>
      </c>
      <c r="C22" s="74">
        <f t="shared" si="5"/>
        <v>2.5734377781734024</v>
      </c>
      <c r="D22" s="74">
        <f t="shared" si="5"/>
        <v>2.6347287198493223</v>
      </c>
      <c r="E22" s="75">
        <f t="shared" si="5"/>
        <v>2.8415675966306231</v>
      </c>
      <c r="F22" s="76">
        <f t="shared" si="5"/>
        <v>1.2997347480106101</v>
      </c>
      <c r="G22" s="76">
        <f t="shared" si="5"/>
        <v>1.2875211543600249</v>
      </c>
      <c r="H22" s="76">
        <f t="shared" si="5"/>
        <v>1.3201716999512909</v>
      </c>
      <c r="I22" s="76">
        <f t="shared" si="5"/>
        <v>1.4357944940835548</v>
      </c>
      <c r="J22" s="73">
        <f t="shared" si="5"/>
        <v>3.8942175938613315</v>
      </c>
      <c r="K22" s="74">
        <f t="shared" si="5"/>
        <v>3.8577528689618363</v>
      </c>
      <c r="L22" s="74">
        <f t="shared" si="5"/>
        <v>3.9437068024736268</v>
      </c>
      <c r="M22" s="75">
        <f t="shared" si="5"/>
        <v>4.2182511528910966</v>
      </c>
    </row>
    <row r="23" spans="1:13" s="4" customFormat="1" x14ac:dyDescent="0.25">
      <c r="A23" s="4" t="s">
        <v>95</v>
      </c>
      <c r="B23" s="69">
        <v>15</v>
      </c>
      <c r="C23" s="70">
        <v>15</v>
      </c>
      <c r="D23" s="70">
        <v>15</v>
      </c>
      <c r="E23" s="71">
        <v>15</v>
      </c>
      <c r="F23" s="82">
        <v>15</v>
      </c>
      <c r="G23" s="82">
        <v>15</v>
      </c>
      <c r="H23" s="82">
        <v>15</v>
      </c>
      <c r="I23" s="82">
        <v>15</v>
      </c>
      <c r="J23" s="69">
        <v>15</v>
      </c>
      <c r="K23" s="70">
        <v>15</v>
      </c>
      <c r="L23" s="70">
        <v>15</v>
      </c>
      <c r="M23" s="71">
        <v>15</v>
      </c>
    </row>
    <row r="25" spans="1:13" x14ac:dyDescent="0.25">
      <c r="A25" t="s">
        <v>82</v>
      </c>
      <c r="B25" s="69">
        <f>-0.5*B10*(B12/(B11-B12))*B13*B12/1000</f>
        <v>8.7015585092694394</v>
      </c>
      <c r="C25" s="70">
        <f t="shared" ref="C25:M25" si="6">-0.5*C10*(C12/(C11-C12))*C13*C12/1000</f>
        <v>8.5390761355480986</v>
      </c>
      <c r="D25" s="70">
        <f t="shared" si="6"/>
        <v>8.9506660222535341</v>
      </c>
      <c r="E25" s="71">
        <f t="shared" si="6"/>
        <v>10.411169688674516</v>
      </c>
      <c r="F25" s="72">
        <f t="shared" si="6"/>
        <v>4.3563523278148724</v>
      </c>
      <c r="G25" s="72">
        <f t="shared" si="6"/>
        <v>4.2748638152805887</v>
      </c>
      <c r="H25" s="72">
        <f t="shared" si="6"/>
        <v>4.4944274526660051</v>
      </c>
      <c r="I25" s="72">
        <f t="shared" si="6"/>
        <v>5.3161607465887482</v>
      </c>
      <c r="J25" s="69">
        <f t="shared" si="6"/>
        <v>13.035650607151929</v>
      </c>
      <c r="K25" s="70">
        <f t="shared" si="6"/>
        <v>12.792666799572565</v>
      </c>
      <c r="L25" s="70">
        <f t="shared" si="6"/>
        <v>13.369079984573245</v>
      </c>
      <c r="M25" s="71">
        <f t="shared" si="6"/>
        <v>15.295270087083278</v>
      </c>
    </row>
    <row r="26" spans="1:13" x14ac:dyDescent="0.25">
      <c r="A26" t="s">
        <v>83</v>
      </c>
      <c r="B26" s="65">
        <f>-0.5*B14*(B21/B20)*B15*B21/1000</f>
        <v>0.10151818260814348</v>
      </c>
      <c r="C26" s="66">
        <f t="shared" ref="C26:M26" si="7">-0.5*C14*(C21/C20)*C15*C21/1000</f>
        <v>0.33207518304909289</v>
      </c>
      <c r="D26" s="66">
        <f t="shared" si="7"/>
        <v>0.10442443692629126</v>
      </c>
      <c r="E26" s="67">
        <f t="shared" si="7"/>
        <v>0.12146364636786941</v>
      </c>
      <c r="F26" s="68">
        <f t="shared" si="7"/>
        <v>5.0824110491173538E-2</v>
      </c>
      <c r="G26" s="68">
        <f t="shared" si="7"/>
        <v>0.16624470392757848</v>
      </c>
      <c r="H26" s="68">
        <f t="shared" si="7"/>
        <v>5.2434986947770074E-2</v>
      </c>
      <c r="I26" s="68">
        <f t="shared" si="7"/>
        <v>6.2021875376868742E-2</v>
      </c>
      <c r="J26" s="65">
        <f t="shared" si="7"/>
        <v>0.15208259041677252</v>
      </c>
      <c r="K26" s="66">
        <f t="shared" si="7"/>
        <v>0.49749259776115545</v>
      </c>
      <c r="L26" s="66">
        <f t="shared" si="7"/>
        <v>0.15597259982002123</v>
      </c>
      <c r="M26" s="67">
        <f t="shared" si="7"/>
        <v>0.17844481768263826</v>
      </c>
    </row>
    <row r="27" spans="1:13" x14ac:dyDescent="0.25">
      <c r="A27" t="s">
        <v>84</v>
      </c>
      <c r="B27" s="65">
        <f>-0.5*B16*(B22/B20)*B17*B22/1000</f>
        <v>1.1279798067571496E-2</v>
      </c>
      <c r="C27" s="66">
        <f t="shared" ref="C27:M27" si="8">-0.5*C16*(C22/C20)*C17*C22/1000</f>
        <v>1.1069172768303095E-2</v>
      </c>
      <c r="D27" s="66">
        <f t="shared" si="8"/>
        <v>3.8675717380107867E-2</v>
      </c>
      <c r="E27" s="67">
        <f t="shared" si="8"/>
        <v>0.22493267845901735</v>
      </c>
      <c r="F27" s="68">
        <f t="shared" si="8"/>
        <v>2.8235616939540843E-3</v>
      </c>
      <c r="G27" s="68">
        <f t="shared" si="8"/>
        <v>2.7707450654596406E-3</v>
      </c>
      <c r="H27" s="68">
        <f t="shared" si="8"/>
        <v>9.7101827681055682E-3</v>
      </c>
      <c r="I27" s="68">
        <f t="shared" si="8"/>
        <v>5.7427662385989571E-2</v>
      </c>
      <c r="J27" s="65">
        <f t="shared" si="8"/>
        <v>2.5347098402795414E-2</v>
      </c>
      <c r="K27" s="66">
        <f t="shared" si="8"/>
        <v>2.4874629888057765E-2</v>
      </c>
      <c r="L27" s="66">
        <f t="shared" si="8"/>
        <v>8.6651444344456222E-2</v>
      </c>
      <c r="M27" s="67">
        <f t="shared" si="8"/>
        <v>0.49568004911843977</v>
      </c>
    </row>
    <row r="28" spans="1:13" x14ac:dyDescent="0.25">
      <c r="A28" t="s">
        <v>85</v>
      </c>
      <c r="B28" s="69">
        <f>-0.5*B18*(B23/B20)*B19*B23/1000</f>
        <v>2.2564285714285712</v>
      </c>
      <c r="C28" s="70">
        <f t="shared" ref="C28:M28" si="9">-0.5*C18*(C23/C20)*C19*C23/1000</f>
        <v>1.9639285714285712</v>
      </c>
      <c r="D28" s="70">
        <f t="shared" si="9"/>
        <v>1.9639285714285712</v>
      </c>
      <c r="E28" s="71">
        <f t="shared" si="9"/>
        <v>0.29249999999999998</v>
      </c>
      <c r="F28" s="72">
        <f t="shared" si="9"/>
        <v>1.1282142857142856</v>
      </c>
      <c r="G28" s="72">
        <f t="shared" si="9"/>
        <v>0.98196428571428562</v>
      </c>
      <c r="H28" s="72">
        <f t="shared" si="9"/>
        <v>0.98196428571428562</v>
      </c>
      <c r="I28" s="72">
        <f t="shared" si="9"/>
        <v>0.14624999999999999</v>
      </c>
      <c r="J28" s="69">
        <f t="shared" si="9"/>
        <v>3.3846428571428571</v>
      </c>
      <c r="K28" s="70">
        <f t="shared" si="9"/>
        <v>2.9458928571428569</v>
      </c>
      <c r="L28" s="70">
        <f t="shared" si="9"/>
        <v>2.9458928571428569</v>
      </c>
      <c r="M28" s="71">
        <f t="shared" si="9"/>
        <v>0.43874999999999997</v>
      </c>
    </row>
    <row r="29" spans="1:13" x14ac:dyDescent="0.25">
      <c r="B29" s="69"/>
      <c r="C29" s="70"/>
      <c r="D29" s="70"/>
      <c r="E29" s="71"/>
      <c r="F29" s="72"/>
      <c r="G29" s="72"/>
      <c r="H29" s="72"/>
      <c r="I29" s="72"/>
      <c r="J29" s="69"/>
      <c r="K29" s="70"/>
      <c r="L29" s="70"/>
      <c r="M29" s="71"/>
    </row>
    <row r="30" spans="1:13" s="4" customFormat="1" x14ac:dyDescent="0.25">
      <c r="A30" s="4" t="s">
        <v>86</v>
      </c>
      <c r="B30" s="69">
        <f>SUM(B25:B28)</f>
        <v>11.070785061373726</v>
      </c>
      <c r="C30" s="70">
        <f t="shared" ref="C30:M30" si="10">SUM(C25:C28)</f>
        <v>10.846149062794067</v>
      </c>
      <c r="D30" s="70">
        <f t="shared" si="10"/>
        <v>11.057694747988505</v>
      </c>
      <c r="E30" s="71">
        <f t="shared" si="10"/>
        <v>11.050066013501404</v>
      </c>
      <c r="F30" s="82">
        <f t="shared" si="10"/>
        <v>5.538214285714286</v>
      </c>
      <c r="G30" s="82">
        <f t="shared" si="10"/>
        <v>5.4258435499879125</v>
      </c>
      <c r="H30" s="82">
        <f t="shared" si="10"/>
        <v>5.5385369080961668</v>
      </c>
      <c r="I30" s="82">
        <f t="shared" si="10"/>
        <v>5.5818602843516061</v>
      </c>
      <c r="J30" s="69">
        <f t="shared" si="10"/>
        <v>16.597723153114355</v>
      </c>
      <c r="K30" s="70">
        <f t="shared" si="10"/>
        <v>16.260926884364636</v>
      </c>
      <c r="L30" s="70">
        <f t="shared" si="10"/>
        <v>16.557596885880578</v>
      </c>
      <c r="M30" s="71">
        <f t="shared" si="10"/>
        <v>16.408144953884356</v>
      </c>
    </row>
    <row r="31" spans="1:13" x14ac:dyDescent="0.25">
      <c r="A31" s="1" t="s">
        <v>96</v>
      </c>
      <c r="B31" s="73">
        <f>'Consumption reduction - DWL'!B23-'DWL with Ramsey pricing'!B30</f>
        <v>0.27016731957865403</v>
      </c>
      <c r="C31" s="74">
        <f>'Consumption reduction - DWL'!C23-'DWL with Ramsey pricing'!C30</f>
        <v>0.29980331815831285</v>
      </c>
      <c r="D31" s="74">
        <f>'Consumption reduction - DWL'!D23-'DWL with Ramsey pricing'!D30</f>
        <v>0.86825763296387493</v>
      </c>
      <c r="E31" s="75">
        <f>'Consumption reduction - DWL'!E23-'DWL with Ramsey pricing'!E30</f>
        <v>4.2187435103081192</v>
      </c>
      <c r="F31" s="76">
        <f>'Consumption reduction - DWL'!F23-'DWL with Ramsey pricing'!F30</f>
        <v>0.32029761904761855</v>
      </c>
      <c r="G31" s="76">
        <f>'Consumption reduction - DWL'!G23-'DWL with Ramsey pricing'!G30</f>
        <v>0.33516835477399187</v>
      </c>
      <c r="H31" s="76">
        <f>'Consumption reduction - DWL'!H23-'DWL with Ramsey pricing'!H30</f>
        <v>1.051224996665737</v>
      </c>
      <c r="I31" s="76">
        <f>'Consumption reduction - DWL'!I23-'DWL with Ramsey pricing'!I30</f>
        <v>5.1864730489817266</v>
      </c>
      <c r="J31" s="73">
        <f>'Consumption reduction - DWL'!J23-'DWL with Ramsey pricing'!J30</f>
        <v>0.22566970402850117</v>
      </c>
      <c r="K31" s="74">
        <f>'Consumption reduction - DWL'!K23-'DWL with Ramsey pricing'!K30</f>
        <v>0.26996597277822332</v>
      </c>
      <c r="L31" s="74">
        <f>'Consumption reduction - DWL'!L23-'DWL with Ramsey pricing'!L30</f>
        <v>0.70454597126227725</v>
      </c>
      <c r="M31" s="75">
        <f>'Consumption reduction - DWL'!M23-'DWL with Ramsey pricing'!M30</f>
        <v>3.3611407604013586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RCPD - UNI and USI</vt:lpstr>
      <vt:lpstr>RCPD - LNI and LSI</vt:lpstr>
      <vt:lpstr>Tiwai in summer</vt:lpstr>
      <vt:lpstr>TPAG estimate validation</vt:lpstr>
      <vt:lpstr>Vector Aurora RCPD charges</vt:lpstr>
      <vt:lpstr>Consumption reduction - DWL</vt:lpstr>
      <vt:lpstr>DWL with Ramsey pricing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2014-09-15T23:27:25Z</dcterms:modified>
</cp:coreProperties>
</file>