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mc:AlternateContent xmlns:mc="http://schemas.openxmlformats.org/markup-compatibility/2006">
    <mc:Choice Requires="x15">
      <x15ac:absPath xmlns:x15ac="http://schemas.microsoft.com/office/spreadsheetml/2010/11/ac" url="https://electricityauthority-my.sharepoint.com/personal/jolene_williams_ea_govt_nz/Documents/Desktop/Connections - post-decision/"/>
    </mc:Choice>
  </mc:AlternateContent>
  <xr:revisionPtr revIDLastSave="0" documentId="8_{FE8352BB-E96B-4265-9DAB-9C66B4D9AF39}" xr6:coauthVersionLast="47" xr6:coauthVersionMax="47" xr10:uidLastSave="{00000000-0000-0000-0000-000000000000}"/>
  <bookViews>
    <workbookView xWindow="4290" yWindow="1800" windowWidth="21600" windowHeight="11055" tabRatio="785" xr2:uid="{C2E238CA-F534-4326-866B-3D8F6E75467E}"/>
  </bookViews>
  <sheets>
    <sheet name="Summary of worked examples" sheetId="12" r:id="rId1"/>
    <sheet name="1. small connection" sheetId="1" r:id="rId2"/>
    <sheet name="2. remote mid-sized connection" sheetId="7" r:id="rId3"/>
    <sheet name="3. large connection" sheetId="8" r:id="rId4"/>
    <sheet name="3b. ITC calcs" sheetId="14" r:id="rId5"/>
    <sheet name="Distributor assumptions" sheetId="11" r:id="rId6"/>
    <sheet name="Network costing zones" sheetId="6" r:id="rId7"/>
    <sheet name="Cons group &amp; variant assumption" sheetId="10" r:id="rId8"/>
    <sheet name="Charge reconciliation summary" sheetId="13" r:id="rId9"/>
    <sheet name="List" sheetId="15" r:id="rId10"/>
  </sheets>
  <definedNames>
    <definedName name="Discount_rate">'Distributor assumptions'!$C$7</definedName>
    <definedName name="Sc1_variant">'1. small connection'!$C$25</definedName>
    <definedName name="Sc2_variant">'2. remote mid-sized connection'!$C$20</definedName>
    <definedName name="Sc3_variant">'3. large connection'!$C$22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3" i="7" l="1"/>
  <c r="N203" i="7"/>
  <c r="O203" i="7"/>
  <c r="P203" i="7"/>
  <c r="Q203" i="7"/>
  <c r="R203" i="7"/>
  <c r="S203" i="7"/>
  <c r="T203" i="7"/>
  <c r="U203" i="7"/>
  <c r="V203" i="7"/>
  <c r="W203" i="7"/>
  <c r="X203" i="7"/>
  <c r="Y203" i="7"/>
  <c r="Z203" i="7"/>
  <c r="AA203" i="7"/>
  <c r="AB203" i="7"/>
  <c r="AC203" i="7"/>
  <c r="AD203" i="7"/>
  <c r="AE203" i="7"/>
  <c r="AF203" i="7"/>
  <c r="AG203" i="7"/>
  <c r="AH203" i="7"/>
  <c r="AI203" i="7"/>
  <c r="AJ203" i="7"/>
  <c r="AK203" i="7"/>
  <c r="AL203" i="7"/>
  <c r="AM203" i="7"/>
  <c r="AN203" i="7"/>
  <c r="AO203" i="7"/>
  <c r="AP203" i="7"/>
  <c r="L203" i="7"/>
  <c r="L192" i="1"/>
  <c r="D32" i="10"/>
  <c r="G119" i="1"/>
  <c r="G118" i="1"/>
  <c r="G117" i="1"/>
  <c r="G116" i="1"/>
  <c r="G115" i="1"/>
  <c r="D91" i="8"/>
  <c r="C50" i="10" l="1"/>
  <c r="Q90" i="10" l="1"/>
  <c r="R90" i="10"/>
  <c r="S90" i="10"/>
  <c r="T90" i="10"/>
  <c r="U90" i="10"/>
  <c r="V90" i="10"/>
  <c r="W90" i="10"/>
  <c r="X90" i="10"/>
  <c r="Y90" i="10"/>
  <c r="Z90" i="10"/>
  <c r="AA90" i="10"/>
  <c r="AB90" i="10"/>
  <c r="AC90" i="10"/>
  <c r="AD90" i="10"/>
  <c r="AE90" i="10"/>
  <c r="AF90" i="10"/>
  <c r="AG90" i="10"/>
  <c r="AH90" i="10"/>
  <c r="AI90" i="10"/>
  <c r="AJ90" i="10"/>
  <c r="AK90" i="10"/>
  <c r="AL90" i="10"/>
  <c r="AM90" i="10"/>
  <c r="AN90" i="10"/>
  <c r="AO90" i="10"/>
  <c r="AP90" i="10"/>
  <c r="AQ90" i="10"/>
  <c r="AR90" i="10"/>
  <c r="AS90" i="10"/>
  <c r="C181" i="1"/>
  <c r="B183" i="1" s="1"/>
  <c r="L182" i="7"/>
  <c r="L181" i="7"/>
  <c r="L180" i="7"/>
  <c r="L202" i="7"/>
  <c r="L167" i="1"/>
  <c r="B170" i="7"/>
  <c r="H168" i="7"/>
  <c r="C156" i="1"/>
  <c r="B158" i="1" s="1"/>
  <c r="J90" i="1"/>
  <c r="I90" i="1"/>
  <c r="H90" i="1"/>
  <c r="G90" i="1"/>
  <c r="F90" i="1"/>
  <c r="E90" i="1"/>
  <c r="D90" i="1"/>
  <c r="J69" i="1"/>
  <c r="I69" i="1"/>
  <c r="H69" i="1"/>
  <c r="G69" i="1"/>
  <c r="F69" i="1"/>
  <c r="D69" i="1"/>
  <c r="L191" i="1" s="1"/>
  <c r="L77" i="1"/>
  <c r="M76" i="1"/>
  <c r="N76" i="1" s="1"/>
  <c r="O76" i="1" s="1"/>
  <c r="P76" i="1" s="1"/>
  <c r="Q76" i="1" s="1"/>
  <c r="R76" i="1" s="1"/>
  <c r="S76" i="1" s="1"/>
  <c r="T76" i="1" s="1"/>
  <c r="U76" i="1" s="1"/>
  <c r="V76" i="1" s="1"/>
  <c r="W76" i="1" s="1"/>
  <c r="X76" i="1" s="1"/>
  <c r="Y76" i="1" s="1"/>
  <c r="Z76" i="1" s="1"/>
  <c r="AA76" i="1" s="1"/>
  <c r="AB76" i="1" s="1"/>
  <c r="AC76" i="1" s="1"/>
  <c r="AD76" i="1" s="1"/>
  <c r="AE76" i="1" s="1"/>
  <c r="AF76" i="1" s="1"/>
  <c r="AG76" i="1" s="1"/>
  <c r="AH76" i="1" s="1"/>
  <c r="AI76" i="1" s="1"/>
  <c r="AJ76" i="1" s="1"/>
  <c r="AK76" i="1" s="1"/>
  <c r="AL76" i="1" s="1"/>
  <c r="AM76" i="1" s="1"/>
  <c r="AN76" i="1" s="1"/>
  <c r="AO76" i="1" s="1"/>
  <c r="AP76" i="1" s="1"/>
  <c r="AP167" i="1" s="1"/>
  <c r="D73" i="1"/>
  <c r="N77" i="1" s="1"/>
  <c r="E69" i="1"/>
  <c r="D154" i="8"/>
  <c r="M182" i="8"/>
  <c r="N182" i="8"/>
  <c r="O182" i="8"/>
  <c r="P182" i="8"/>
  <c r="Q182" i="8"/>
  <c r="R182" i="8"/>
  <c r="S182" i="8"/>
  <c r="T182" i="8"/>
  <c r="U182" i="8"/>
  <c r="V182" i="8"/>
  <c r="W182" i="8"/>
  <c r="X182" i="8"/>
  <c r="Y182" i="8"/>
  <c r="Z182" i="8"/>
  <c r="AA182" i="8"/>
  <c r="AB182" i="8"/>
  <c r="AC182" i="8"/>
  <c r="AD182" i="8"/>
  <c r="AE182" i="8"/>
  <c r="AF182" i="8"/>
  <c r="AG182" i="8"/>
  <c r="AH182" i="8"/>
  <c r="AI182" i="8"/>
  <c r="AJ182" i="8"/>
  <c r="AK182" i="8"/>
  <c r="AL182" i="8"/>
  <c r="AM182" i="8"/>
  <c r="AN182" i="8"/>
  <c r="AO182" i="8"/>
  <c r="AP182" i="8"/>
  <c r="M183" i="8"/>
  <c r="N183" i="8"/>
  <c r="O183" i="8"/>
  <c r="P183" i="8"/>
  <c r="Q183" i="8"/>
  <c r="R183" i="8"/>
  <c r="S183" i="8"/>
  <c r="T183" i="8"/>
  <c r="U183" i="8"/>
  <c r="V183" i="8"/>
  <c r="W183" i="8"/>
  <c r="X183" i="8"/>
  <c r="Y183" i="8"/>
  <c r="Z183" i="8"/>
  <c r="AA183" i="8"/>
  <c r="AB183" i="8"/>
  <c r="AC183" i="8"/>
  <c r="AD183" i="8"/>
  <c r="AE183" i="8"/>
  <c r="AF183" i="8"/>
  <c r="AG183" i="8"/>
  <c r="AH183" i="8"/>
  <c r="AI183" i="8"/>
  <c r="AJ183" i="8"/>
  <c r="AK183" i="8"/>
  <c r="AL183" i="8"/>
  <c r="AM183" i="8"/>
  <c r="AN183" i="8"/>
  <c r="AO183" i="8"/>
  <c r="AP183" i="8"/>
  <c r="M184" i="8"/>
  <c r="N184" i="8"/>
  <c r="O184" i="8"/>
  <c r="P184" i="8"/>
  <c r="Q184" i="8"/>
  <c r="R184" i="8"/>
  <c r="S184" i="8"/>
  <c r="T184" i="8"/>
  <c r="U184" i="8"/>
  <c r="V184" i="8"/>
  <c r="W184" i="8"/>
  <c r="X184" i="8"/>
  <c r="Y184" i="8"/>
  <c r="Z184" i="8"/>
  <c r="AA184" i="8"/>
  <c r="AB184" i="8"/>
  <c r="AC184" i="8"/>
  <c r="AD184" i="8"/>
  <c r="AE184" i="8"/>
  <c r="AF184" i="8"/>
  <c r="AG184" i="8"/>
  <c r="AH184" i="8"/>
  <c r="AI184" i="8"/>
  <c r="AJ184" i="8"/>
  <c r="AK184" i="8"/>
  <c r="AL184" i="8"/>
  <c r="AM184" i="8"/>
  <c r="AN184" i="8"/>
  <c r="AO184" i="8"/>
  <c r="AP184" i="8"/>
  <c r="M185" i="8"/>
  <c r="N185" i="8"/>
  <c r="O185" i="8"/>
  <c r="P185" i="8"/>
  <c r="Q185" i="8"/>
  <c r="R185" i="8"/>
  <c r="S185" i="8"/>
  <c r="T185" i="8"/>
  <c r="U185" i="8"/>
  <c r="V185" i="8"/>
  <c r="W185" i="8"/>
  <c r="X185" i="8"/>
  <c r="Y185" i="8"/>
  <c r="Z185" i="8"/>
  <c r="AA185" i="8"/>
  <c r="AB185" i="8"/>
  <c r="AC185" i="8"/>
  <c r="AD185" i="8"/>
  <c r="AE185" i="8"/>
  <c r="AF185" i="8"/>
  <c r="AG185" i="8"/>
  <c r="AH185" i="8"/>
  <c r="AI185" i="8"/>
  <c r="AJ185" i="8"/>
  <c r="AK185" i="8"/>
  <c r="AL185" i="8"/>
  <c r="AM185" i="8"/>
  <c r="AN185" i="8"/>
  <c r="AO185" i="8"/>
  <c r="AP185" i="8"/>
  <c r="M205" i="8"/>
  <c r="N205" i="8"/>
  <c r="O205" i="8"/>
  <c r="P205" i="8"/>
  <c r="Q205" i="8"/>
  <c r="R205" i="8"/>
  <c r="S205" i="8"/>
  <c r="T205" i="8"/>
  <c r="U205" i="8"/>
  <c r="V205" i="8"/>
  <c r="W205" i="8"/>
  <c r="X205" i="8"/>
  <c r="Y205" i="8"/>
  <c r="Z205" i="8"/>
  <c r="AA205" i="8"/>
  <c r="AB205" i="8"/>
  <c r="AC205" i="8"/>
  <c r="AD205" i="8"/>
  <c r="AE205" i="8"/>
  <c r="AF205" i="8"/>
  <c r="AG205" i="8"/>
  <c r="AH205" i="8"/>
  <c r="AI205" i="8"/>
  <c r="AJ205" i="8"/>
  <c r="AK205" i="8"/>
  <c r="AL205" i="8"/>
  <c r="AM205" i="8"/>
  <c r="AN205" i="8"/>
  <c r="AO205" i="8"/>
  <c r="AP205" i="8"/>
  <c r="M206" i="8"/>
  <c r="N206" i="8"/>
  <c r="O206" i="8"/>
  <c r="P206" i="8"/>
  <c r="Q206" i="8"/>
  <c r="R206" i="8"/>
  <c r="S206" i="8"/>
  <c r="T206" i="8"/>
  <c r="U206" i="8"/>
  <c r="V206" i="8"/>
  <c r="W206" i="8"/>
  <c r="X206" i="8"/>
  <c r="Y206" i="8"/>
  <c r="Z206" i="8"/>
  <c r="AA206" i="8"/>
  <c r="AB206" i="8"/>
  <c r="AC206" i="8"/>
  <c r="AD206" i="8"/>
  <c r="AE206" i="8"/>
  <c r="AF206" i="8"/>
  <c r="AG206" i="8"/>
  <c r="AH206" i="8"/>
  <c r="AI206" i="8"/>
  <c r="AJ206" i="8"/>
  <c r="AK206" i="8"/>
  <c r="AL206" i="8"/>
  <c r="AM206" i="8"/>
  <c r="AN206" i="8"/>
  <c r="AO206" i="8"/>
  <c r="AP206" i="8"/>
  <c r="M207" i="8"/>
  <c r="N207" i="8"/>
  <c r="O207" i="8"/>
  <c r="P207" i="8"/>
  <c r="Q207" i="8"/>
  <c r="R207" i="8"/>
  <c r="S207" i="8"/>
  <c r="T207" i="8"/>
  <c r="U207" i="8"/>
  <c r="V207" i="8"/>
  <c r="W207" i="8"/>
  <c r="X207" i="8"/>
  <c r="Y207" i="8"/>
  <c r="Z207" i="8"/>
  <c r="AA207" i="8"/>
  <c r="AB207" i="8"/>
  <c r="AC207" i="8"/>
  <c r="AD207" i="8"/>
  <c r="AE207" i="8"/>
  <c r="AF207" i="8"/>
  <c r="AG207" i="8"/>
  <c r="AH207" i="8"/>
  <c r="AI207" i="8"/>
  <c r="AJ207" i="8"/>
  <c r="AK207" i="8"/>
  <c r="AL207" i="8"/>
  <c r="AM207" i="8"/>
  <c r="AN207" i="8"/>
  <c r="AO207" i="8"/>
  <c r="AP207" i="8"/>
  <c r="M208" i="8"/>
  <c r="N208" i="8"/>
  <c r="O208" i="8"/>
  <c r="P208" i="8"/>
  <c r="Q208" i="8"/>
  <c r="R208" i="8"/>
  <c r="S208" i="8"/>
  <c r="T208" i="8"/>
  <c r="U208" i="8"/>
  <c r="V208" i="8"/>
  <c r="W208" i="8"/>
  <c r="X208" i="8"/>
  <c r="Y208" i="8"/>
  <c r="Z208" i="8"/>
  <c r="AA208" i="8"/>
  <c r="AB208" i="8"/>
  <c r="AC208" i="8"/>
  <c r="AD208" i="8"/>
  <c r="AE208" i="8"/>
  <c r="AF208" i="8"/>
  <c r="AG208" i="8"/>
  <c r="AH208" i="8"/>
  <c r="AI208" i="8"/>
  <c r="AJ208" i="8"/>
  <c r="AK208" i="8"/>
  <c r="AL208" i="8"/>
  <c r="AM208" i="8"/>
  <c r="AN208" i="8"/>
  <c r="AO208" i="8"/>
  <c r="AP208" i="8"/>
  <c r="M209" i="8"/>
  <c r="N209" i="8"/>
  <c r="O209" i="8"/>
  <c r="P209" i="8"/>
  <c r="Q209" i="8"/>
  <c r="R209" i="8"/>
  <c r="S209" i="8"/>
  <c r="T209" i="8"/>
  <c r="U209" i="8"/>
  <c r="V209" i="8"/>
  <c r="W209" i="8"/>
  <c r="X209" i="8"/>
  <c r="Y209" i="8"/>
  <c r="Z209" i="8"/>
  <c r="AA209" i="8"/>
  <c r="AB209" i="8"/>
  <c r="AC209" i="8"/>
  <c r="AD209" i="8"/>
  <c r="AE209" i="8"/>
  <c r="AF209" i="8"/>
  <c r="AG209" i="8"/>
  <c r="AH209" i="8"/>
  <c r="AI209" i="8"/>
  <c r="AJ209" i="8"/>
  <c r="AK209" i="8"/>
  <c r="AL209" i="8"/>
  <c r="AM209" i="8"/>
  <c r="AN209" i="8"/>
  <c r="AO209" i="8"/>
  <c r="AP209" i="8"/>
  <c r="L208" i="8"/>
  <c r="L185" i="8"/>
  <c r="L207" i="8"/>
  <c r="C192" i="7"/>
  <c r="D208" i="7" s="1"/>
  <c r="L178" i="7"/>
  <c r="D160" i="1" l="1"/>
  <c r="D174" i="1"/>
  <c r="D185" i="1"/>
  <c r="D197" i="1"/>
  <c r="AK168" i="1"/>
  <c r="AK190" i="1" s="1"/>
  <c r="W192" i="1"/>
  <c r="AK192" i="1"/>
  <c r="AA192" i="1"/>
  <c r="M192" i="1"/>
  <c r="AC191" i="1"/>
  <c r="AO192" i="1"/>
  <c r="AM191" i="1"/>
  <c r="AN192" i="1"/>
  <c r="Z192" i="1"/>
  <c r="AP191" i="1"/>
  <c r="AB191" i="1"/>
  <c r="N191" i="1"/>
  <c r="AM192" i="1"/>
  <c r="Y192" i="1"/>
  <c r="AO191" i="1"/>
  <c r="AL192" i="1"/>
  <c r="X192" i="1"/>
  <c r="AN191" i="1"/>
  <c r="L169" i="1"/>
  <c r="AJ192" i="1"/>
  <c r="V192" i="1"/>
  <c r="AL191" i="1"/>
  <c r="AI192" i="1"/>
  <c r="U192" i="1"/>
  <c r="AK191" i="1"/>
  <c r="AH192" i="1"/>
  <c r="AG192" i="1"/>
  <c r="AF192" i="1"/>
  <c r="AE192" i="1"/>
  <c r="AG191" i="1"/>
  <c r="AD192" i="1"/>
  <c r="P192" i="1"/>
  <c r="AF191" i="1"/>
  <c r="AJ191" i="1"/>
  <c r="S192" i="1"/>
  <c r="AH191" i="1"/>
  <c r="AC192" i="1"/>
  <c r="O192" i="1"/>
  <c r="AE191" i="1"/>
  <c r="T192" i="1"/>
  <c r="AI191" i="1"/>
  <c r="R192" i="1"/>
  <c r="Q192" i="1"/>
  <c r="AP192" i="1"/>
  <c r="AB192" i="1"/>
  <c r="N192" i="1"/>
  <c r="AD191" i="1"/>
  <c r="P191" i="1"/>
  <c r="U169" i="1"/>
  <c r="AI169" i="1"/>
  <c r="AM167" i="1"/>
  <c r="AL167" i="1"/>
  <c r="AK167" i="1"/>
  <c r="Y167" i="1"/>
  <c r="X167" i="1"/>
  <c r="W167" i="1"/>
  <c r="T169" i="1"/>
  <c r="AG169" i="1"/>
  <c r="AI168" i="1"/>
  <c r="AI190" i="1" s="1"/>
  <c r="R169" i="1"/>
  <c r="V167" i="1"/>
  <c r="Q169" i="1"/>
  <c r="U167" i="1"/>
  <c r="AH167" i="1"/>
  <c r="AC169" i="1"/>
  <c r="S167" i="1"/>
  <c r="AD168" i="1"/>
  <c r="AD190" i="1" s="1"/>
  <c r="R167" i="1"/>
  <c r="AA169" i="1"/>
  <c r="Q167" i="1"/>
  <c r="AN169" i="1"/>
  <c r="Z169" i="1"/>
  <c r="AP168" i="1"/>
  <c r="AP190" i="1" s="1"/>
  <c r="AB168" i="1"/>
  <c r="AB190" i="1" s="1"/>
  <c r="N168" i="1"/>
  <c r="N190" i="1" s="1"/>
  <c r="AD167" i="1"/>
  <c r="P167" i="1"/>
  <c r="AH169" i="1"/>
  <c r="AJ167" i="1"/>
  <c r="AE169" i="1"/>
  <c r="AI167" i="1"/>
  <c r="AD169" i="1"/>
  <c r="T167" i="1"/>
  <c r="AG167" i="1"/>
  <c r="AP169" i="1"/>
  <c r="AF167" i="1"/>
  <c r="AO169" i="1"/>
  <c r="AE167" i="1"/>
  <c r="L168" i="1"/>
  <c r="L190" i="1" s="1"/>
  <c r="AM169" i="1"/>
  <c r="Y169" i="1"/>
  <c r="AO168" i="1"/>
  <c r="AO190" i="1" s="1"/>
  <c r="AC167" i="1"/>
  <c r="O167" i="1"/>
  <c r="S169" i="1"/>
  <c r="AF168" i="1"/>
  <c r="AF190" i="1" s="1"/>
  <c r="AB169" i="1"/>
  <c r="AL169" i="1"/>
  <c r="X169" i="1"/>
  <c r="AN168" i="1"/>
  <c r="AN190" i="1" s="1"/>
  <c r="AB167" i="1"/>
  <c r="N167" i="1"/>
  <c r="AH168" i="1"/>
  <c r="AH190" i="1" s="1"/>
  <c r="AG168" i="1"/>
  <c r="AG190" i="1" s="1"/>
  <c r="P169" i="1"/>
  <c r="AE168" i="1"/>
  <c r="AE190" i="1" s="1"/>
  <c r="AC168" i="1"/>
  <c r="AC190" i="1" s="1"/>
  <c r="AK169" i="1"/>
  <c r="W169" i="1"/>
  <c r="AM168" i="1"/>
  <c r="AM190" i="1" s="1"/>
  <c r="AO167" i="1"/>
  <c r="AA167" i="1"/>
  <c r="M167" i="1"/>
  <c r="AJ168" i="1"/>
  <c r="AJ190" i="1" s="1"/>
  <c r="AF169" i="1"/>
  <c r="O169" i="1"/>
  <c r="N169" i="1"/>
  <c r="M169" i="1"/>
  <c r="AJ169" i="1"/>
  <c r="V169" i="1"/>
  <c r="AL168" i="1"/>
  <c r="AL190" i="1" s="1"/>
  <c r="AN167" i="1"/>
  <c r="Z167" i="1"/>
  <c r="Q77" i="1"/>
  <c r="Q168" i="1" s="1"/>
  <c r="Q190" i="1" s="1"/>
  <c r="AA77" i="1"/>
  <c r="AA168" i="1" s="1"/>
  <c r="AA190" i="1" s="1"/>
  <c r="AN77" i="1"/>
  <c r="Z77" i="1"/>
  <c r="Z168" i="1" s="1"/>
  <c r="Z190" i="1" s="1"/>
  <c r="Y77" i="1"/>
  <c r="X77" i="1"/>
  <c r="X168" i="1" s="1"/>
  <c r="X190" i="1" s="1"/>
  <c r="W77" i="1"/>
  <c r="W168" i="1" s="1"/>
  <c r="W190" i="1" s="1"/>
  <c r="AJ77" i="1"/>
  <c r="AI77" i="1"/>
  <c r="U77" i="1"/>
  <c r="U168" i="1" s="1"/>
  <c r="U190" i="1" s="1"/>
  <c r="AH77" i="1"/>
  <c r="R77" i="1"/>
  <c r="R168" i="1" s="1"/>
  <c r="R190" i="1" s="1"/>
  <c r="AE77" i="1"/>
  <c r="P77" i="1"/>
  <c r="P168" i="1" s="1"/>
  <c r="P190" i="1" s="1"/>
  <c r="M77" i="1"/>
  <c r="M168" i="1" s="1"/>
  <c r="M190" i="1" s="1"/>
  <c r="O77" i="1"/>
  <c r="AO77" i="1"/>
  <c r="AM77" i="1"/>
  <c r="AL77" i="1"/>
  <c r="AK77" i="1"/>
  <c r="V77" i="1"/>
  <c r="V168" i="1" s="1"/>
  <c r="V190" i="1" s="1"/>
  <c r="T77" i="1"/>
  <c r="T168" i="1" s="1"/>
  <c r="T190" i="1" s="1"/>
  <c r="AG77" i="1"/>
  <c r="S77" i="1"/>
  <c r="S168" i="1" s="1"/>
  <c r="S190" i="1" s="1"/>
  <c r="AF77" i="1"/>
  <c r="AD77" i="1"/>
  <c r="AC77" i="1"/>
  <c r="AP77" i="1"/>
  <c r="AB77" i="1"/>
  <c r="D196" i="7"/>
  <c r="B194" i="7"/>
  <c r="L201" i="7"/>
  <c r="C168" i="7"/>
  <c r="D162" i="7"/>
  <c r="L71" i="7"/>
  <c r="M70" i="7"/>
  <c r="D67" i="7"/>
  <c r="N71" i="7" s="1"/>
  <c r="L204" i="8"/>
  <c r="L181" i="8"/>
  <c r="L140" i="8"/>
  <c r="L206" i="8"/>
  <c r="L183" i="8"/>
  <c r="C172" i="8"/>
  <c r="E127" i="8"/>
  <c r="F127" i="8"/>
  <c r="G127" i="8"/>
  <c r="D127" i="8"/>
  <c r="Q191" i="1" l="1"/>
  <c r="Z191" i="1"/>
  <c r="Y168" i="1"/>
  <c r="Y190" i="1" s="1"/>
  <c r="Y191" i="1"/>
  <c r="U191" i="1"/>
  <c r="S191" i="1"/>
  <c r="V191" i="1"/>
  <c r="X191" i="1"/>
  <c r="O168" i="1"/>
  <c r="O190" i="1" s="1"/>
  <c r="O191" i="1"/>
  <c r="T191" i="1"/>
  <c r="W191" i="1"/>
  <c r="R191" i="1"/>
  <c r="M191" i="1"/>
  <c r="AA191" i="1"/>
  <c r="D172" i="7"/>
  <c r="N70" i="7"/>
  <c r="M201" i="7"/>
  <c r="AF71" i="7"/>
  <c r="AB71" i="7"/>
  <c r="AA71" i="7"/>
  <c r="M71" i="7"/>
  <c r="T71" i="7"/>
  <c r="S71" i="7"/>
  <c r="AJ71" i="7"/>
  <c r="X71" i="7"/>
  <c r="AN71" i="7"/>
  <c r="AI71" i="7"/>
  <c r="AK71" i="7"/>
  <c r="AC71" i="7"/>
  <c r="U71" i="7"/>
  <c r="AP71" i="7"/>
  <c r="AH71" i="7"/>
  <c r="Z71" i="7"/>
  <c r="R71" i="7"/>
  <c r="AO71" i="7"/>
  <c r="AG71" i="7"/>
  <c r="Y71" i="7"/>
  <c r="Q71" i="7"/>
  <c r="P71" i="7"/>
  <c r="AM71" i="7"/>
  <c r="AE71" i="7"/>
  <c r="W71" i="7"/>
  <c r="O71" i="7"/>
  <c r="AL71" i="7"/>
  <c r="AD71" i="7"/>
  <c r="V71" i="7"/>
  <c r="O70" i="7" l="1"/>
  <c r="N201" i="7"/>
  <c r="B197" i="8"/>
  <c r="B174" i="8"/>
  <c r="C195" i="8"/>
  <c r="F66" i="10"/>
  <c r="K8" i="10" s="1"/>
  <c r="E66" i="10"/>
  <c r="J8" i="10" s="1"/>
  <c r="G103" i="8"/>
  <c r="G104" i="8"/>
  <c r="G105" i="8"/>
  <c r="G106" i="8"/>
  <c r="G107" i="8"/>
  <c r="E89" i="8"/>
  <c r="P70" i="7" l="1"/>
  <c r="O201" i="7"/>
  <c r="D135" i="8"/>
  <c r="Q70" i="7" l="1"/>
  <c r="P201" i="7"/>
  <c r="U12" i="13"/>
  <c r="V12" i="13"/>
  <c r="W12" i="13"/>
  <c r="X12" i="13"/>
  <c r="Y12" i="13"/>
  <c r="Z12" i="13"/>
  <c r="AA12" i="13"/>
  <c r="U13" i="13"/>
  <c r="V13" i="13"/>
  <c r="W13" i="13"/>
  <c r="X13" i="13"/>
  <c r="Y13" i="13"/>
  <c r="Z13" i="13"/>
  <c r="AA13" i="13"/>
  <c r="U14" i="13"/>
  <c r="V14" i="13"/>
  <c r="W14" i="13"/>
  <c r="X14" i="13"/>
  <c r="Y14" i="13"/>
  <c r="Z14" i="13"/>
  <c r="AA14" i="13"/>
  <c r="U16" i="13"/>
  <c r="U17" i="13"/>
  <c r="V17" i="13"/>
  <c r="W17" i="13"/>
  <c r="X17" i="13"/>
  <c r="Y17" i="13"/>
  <c r="Z17" i="13"/>
  <c r="AA17" i="13"/>
  <c r="U18" i="13"/>
  <c r="V18" i="13"/>
  <c r="W18" i="13"/>
  <c r="X18" i="13"/>
  <c r="Y18" i="13"/>
  <c r="Z18" i="13"/>
  <c r="AA18" i="13"/>
  <c r="Y19" i="13"/>
  <c r="Z19" i="13"/>
  <c r="AA19" i="13"/>
  <c r="U21" i="13"/>
  <c r="V21" i="13"/>
  <c r="W21" i="13"/>
  <c r="X21" i="13"/>
  <c r="Y21" i="13"/>
  <c r="Z21" i="13"/>
  <c r="AA21" i="13"/>
  <c r="T14" i="13"/>
  <c r="T13" i="13"/>
  <c r="T12" i="13"/>
  <c r="L13" i="14"/>
  <c r="L26" i="14"/>
  <c r="W8" i="14"/>
  <c r="X8" i="14"/>
  <c r="M6" i="14"/>
  <c r="N6" i="14" s="1"/>
  <c r="O6" i="14" s="1"/>
  <c r="P6" i="14" s="1"/>
  <c r="Q6" i="14" s="1"/>
  <c r="R6" i="14" s="1"/>
  <c r="S6" i="14" s="1"/>
  <c r="T6" i="14" s="1"/>
  <c r="U6" i="14" s="1"/>
  <c r="V6" i="14" s="1"/>
  <c r="W6" i="14" s="1"/>
  <c r="X6" i="14" s="1"/>
  <c r="Y6" i="14" s="1"/>
  <c r="Z6" i="14" s="1"/>
  <c r="AA6" i="14" s="1"/>
  <c r="R12" i="14"/>
  <c r="S12" i="14" s="1"/>
  <c r="T12" i="14" s="1"/>
  <c r="U12" i="14" s="1"/>
  <c r="V12" i="14" s="1"/>
  <c r="W12" i="14" s="1"/>
  <c r="X12" i="14" s="1"/>
  <c r="N11" i="14"/>
  <c r="O11" i="14" s="1"/>
  <c r="P11" i="14" s="1"/>
  <c r="Q11" i="14" s="1"/>
  <c r="R11" i="14" s="1"/>
  <c r="S11" i="14" s="1"/>
  <c r="T11" i="14" s="1"/>
  <c r="U11" i="14" s="1"/>
  <c r="V11" i="14" s="1"/>
  <c r="W11" i="14" s="1"/>
  <c r="X11" i="14" s="1"/>
  <c r="M8" i="14"/>
  <c r="N8" i="14"/>
  <c r="O8" i="14"/>
  <c r="P8" i="14"/>
  <c r="Q8" i="14"/>
  <c r="R8" i="14"/>
  <c r="S8" i="14"/>
  <c r="T8" i="14"/>
  <c r="U8" i="14"/>
  <c r="V8" i="14"/>
  <c r="Y8" i="14"/>
  <c r="Z8" i="14"/>
  <c r="AA8" i="14"/>
  <c r="L8" i="14"/>
  <c r="N7" i="14"/>
  <c r="O7" i="14"/>
  <c r="P7" i="14"/>
  <c r="Q7" i="14"/>
  <c r="R7" i="14"/>
  <c r="S7" i="14"/>
  <c r="T7" i="14"/>
  <c r="U7" i="14"/>
  <c r="V7" i="14"/>
  <c r="W7" i="14"/>
  <c r="X7" i="14"/>
  <c r="Y7" i="14"/>
  <c r="Z7" i="14"/>
  <c r="AA7" i="14"/>
  <c r="M7" i="14"/>
  <c r="M26" i="14" s="1"/>
  <c r="AS96" i="10"/>
  <c r="AR96" i="10"/>
  <c r="AQ96" i="10"/>
  <c r="AP96" i="10"/>
  <c r="AO96" i="10"/>
  <c r="AN96" i="10"/>
  <c r="AM96" i="10"/>
  <c r="AL96" i="10"/>
  <c r="AK96" i="10"/>
  <c r="AJ96" i="10"/>
  <c r="AI96" i="10"/>
  <c r="AH96" i="10"/>
  <c r="AG96" i="10"/>
  <c r="AF96" i="10"/>
  <c r="AE96" i="10"/>
  <c r="AD96" i="10"/>
  <c r="AC96" i="10"/>
  <c r="AB96" i="10"/>
  <c r="AA96" i="10"/>
  <c r="Z96" i="10"/>
  <c r="Y96" i="10"/>
  <c r="X96" i="10"/>
  <c r="W96" i="10"/>
  <c r="V96" i="10"/>
  <c r="U96" i="10"/>
  <c r="T96" i="10"/>
  <c r="S96" i="10"/>
  <c r="R96" i="10"/>
  <c r="Q96" i="10"/>
  <c r="P96" i="10"/>
  <c r="O96" i="10"/>
  <c r="AS95" i="10"/>
  <c r="AR95" i="10"/>
  <c r="AQ95" i="10"/>
  <c r="AP95" i="10"/>
  <c r="AO95" i="10"/>
  <c r="AN95" i="10"/>
  <c r="AM95" i="10"/>
  <c r="AL95" i="10"/>
  <c r="AK95" i="10"/>
  <c r="AJ95" i="10"/>
  <c r="AI95" i="10"/>
  <c r="AH95" i="10"/>
  <c r="AG95" i="10"/>
  <c r="AF95" i="10"/>
  <c r="AE95" i="10"/>
  <c r="AD95" i="10"/>
  <c r="AC95" i="10"/>
  <c r="AB95" i="10"/>
  <c r="AA95" i="10"/>
  <c r="Z95" i="10"/>
  <c r="Y95" i="10"/>
  <c r="X95" i="10"/>
  <c r="W95" i="10"/>
  <c r="V95" i="10"/>
  <c r="U95" i="10"/>
  <c r="T95" i="10"/>
  <c r="S95" i="10"/>
  <c r="R95" i="10"/>
  <c r="Q95" i="10"/>
  <c r="P95" i="10"/>
  <c r="O95" i="10"/>
  <c r="AS94" i="10"/>
  <c r="AR94" i="10"/>
  <c r="AQ94" i="10"/>
  <c r="AP94" i="10"/>
  <c r="AO94" i="10"/>
  <c r="AN94" i="10"/>
  <c r="AM94" i="10"/>
  <c r="AL94" i="10"/>
  <c r="AK94" i="10"/>
  <c r="AJ94" i="10"/>
  <c r="AI94" i="10"/>
  <c r="AH94" i="10"/>
  <c r="AG94" i="10"/>
  <c r="AF94" i="10"/>
  <c r="AE94" i="10"/>
  <c r="AD94" i="10"/>
  <c r="AC94" i="10"/>
  <c r="AB94" i="10"/>
  <c r="AA94" i="10"/>
  <c r="Z94" i="10"/>
  <c r="Y94" i="10"/>
  <c r="X94" i="10"/>
  <c r="W94" i="10"/>
  <c r="V94" i="10"/>
  <c r="U94" i="10"/>
  <c r="T94" i="10"/>
  <c r="S94" i="10"/>
  <c r="R94" i="10"/>
  <c r="Q94" i="10"/>
  <c r="P94" i="10"/>
  <c r="O94" i="10"/>
  <c r="P81" i="10"/>
  <c r="Q81" i="10"/>
  <c r="R81" i="10"/>
  <c r="S81" i="10"/>
  <c r="T81" i="10"/>
  <c r="U81" i="10"/>
  <c r="V81" i="10"/>
  <c r="W81" i="10"/>
  <c r="X81" i="10"/>
  <c r="Y81" i="10"/>
  <c r="Z81" i="10"/>
  <c r="AA81" i="10"/>
  <c r="AB81" i="10"/>
  <c r="AC81" i="10"/>
  <c r="AD81" i="10"/>
  <c r="AE81" i="10"/>
  <c r="AF81" i="10"/>
  <c r="AG81" i="10"/>
  <c r="AH81" i="10"/>
  <c r="AI81" i="10"/>
  <c r="AJ81" i="10"/>
  <c r="AK81" i="10"/>
  <c r="AL81" i="10"/>
  <c r="AM81" i="10"/>
  <c r="AN81" i="10"/>
  <c r="AO81" i="10"/>
  <c r="AP81" i="10"/>
  <c r="AQ81" i="10"/>
  <c r="AR81" i="10"/>
  <c r="AS81" i="10"/>
  <c r="P82" i="10"/>
  <c r="Q82" i="10"/>
  <c r="R82" i="10"/>
  <c r="S82" i="10"/>
  <c r="T82" i="10"/>
  <c r="U82" i="10"/>
  <c r="V82" i="10"/>
  <c r="W82" i="10"/>
  <c r="X82" i="10"/>
  <c r="Y82" i="10"/>
  <c r="Z82" i="10"/>
  <c r="AA82" i="10"/>
  <c r="AB82" i="10"/>
  <c r="AC82" i="10"/>
  <c r="AD82" i="10"/>
  <c r="AE82" i="10"/>
  <c r="AF82" i="10"/>
  <c r="AG82" i="10"/>
  <c r="AH82" i="10"/>
  <c r="AI82" i="10"/>
  <c r="AJ82" i="10"/>
  <c r="AK82" i="10"/>
  <c r="AL82" i="10"/>
  <c r="AM82" i="10"/>
  <c r="AN82" i="10"/>
  <c r="AO82" i="10"/>
  <c r="AP82" i="10"/>
  <c r="AQ82" i="10"/>
  <c r="AR82" i="10"/>
  <c r="AS82" i="10"/>
  <c r="P83" i="10"/>
  <c r="Q83" i="10"/>
  <c r="R83" i="10"/>
  <c r="S83" i="10"/>
  <c r="T83" i="10"/>
  <c r="U83" i="10"/>
  <c r="V83" i="10"/>
  <c r="W83" i="10"/>
  <c r="X83" i="10"/>
  <c r="Y83" i="10"/>
  <c r="Z83" i="10"/>
  <c r="AA83" i="10"/>
  <c r="AB83" i="10"/>
  <c r="AC83" i="10"/>
  <c r="AD83" i="10"/>
  <c r="AE83" i="10"/>
  <c r="AF83" i="10"/>
  <c r="AG83" i="10"/>
  <c r="AH83" i="10"/>
  <c r="AI83" i="10"/>
  <c r="AJ83" i="10"/>
  <c r="AK83" i="10"/>
  <c r="AL83" i="10"/>
  <c r="AM83" i="10"/>
  <c r="AN83" i="10"/>
  <c r="AO83" i="10"/>
  <c r="AP83" i="10"/>
  <c r="AQ83" i="10"/>
  <c r="AR83" i="10"/>
  <c r="AS83" i="10"/>
  <c r="O82" i="10"/>
  <c r="O83" i="10"/>
  <c r="O81" i="10"/>
  <c r="F166" i="8"/>
  <c r="G166" i="8"/>
  <c r="D66" i="10"/>
  <c r="I8" i="10" s="1"/>
  <c r="E166" i="8" s="1"/>
  <c r="C66" i="10"/>
  <c r="H8" i="10" s="1"/>
  <c r="D166" i="8" s="1"/>
  <c r="AB74" i="8"/>
  <c r="AC74" i="8"/>
  <c r="AD74" i="8"/>
  <c r="AE74" i="8"/>
  <c r="AF74" i="8"/>
  <c r="AG74" i="8"/>
  <c r="AH74" i="8"/>
  <c r="AI74" i="8"/>
  <c r="AJ74" i="8"/>
  <c r="AK74" i="8"/>
  <c r="AL74" i="8"/>
  <c r="AM74" i="8"/>
  <c r="AN74" i="8"/>
  <c r="AO74" i="8"/>
  <c r="AP74" i="8"/>
  <c r="L74" i="8"/>
  <c r="M73" i="8"/>
  <c r="N142" i="8"/>
  <c r="O142" i="8"/>
  <c r="P142" i="8"/>
  <c r="Q142" i="8"/>
  <c r="R142" i="8"/>
  <c r="S142" i="8"/>
  <c r="T142" i="8"/>
  <c r="U142" i="8"/>
  <c r="V142" i="8"/>
  <c r="W142" i="8"/>
  <c r="X142" i="8"/>
  <c r="Y142" i="8"/>
  <c r="Z142" i="8"/>
  <c r="AA142" i="8"/>
  <c r="AB142" i="8"/>
  <c r="AC142" i="8"/>
  <c r="AD142" i="8"/>
  <c r="AE142" i="8"/>
  <c r="AF142" i="8"/>
  <c r="AG142" i="8"/>
  <c r="AH142" i="8"/>
  <c r="AI142" i="8"/>
  <c r="AJ142" i="8"/>
  <c r="AK142" i="8"/>
  <c r="AL142" i="8"/>
  <c r="AM142" i="8"/>
  <c r="AN142" i="8"/>
  <c r="AO142" i="8"/>
  <c r="AP142" i="8"/>
  <c r="M142" i="8"/>
  <c r="D145" i="8"/>
  <c r="C133" i="8"/>
  <c r="D70" i="8"/>
  <c r="G65" i="8"/>
  <c r="F65" i="8"/>
  <c r="E65" i="8"/>
  <c r="D65" i="8"/>
  <c r="E129" i="8"/>
  <c r="F129" i="8"/>
  <c r="G129" i="8"/>
  <c r="F67" i="10" s="1"/>
  <c r="K7" i="10" s="1"/>
  <c r="G165" i="8" s="1"/>
  <c r="D129" i="8"/>
  <c r="G126" i="8"/>
  <c r="F126" i="8"/>
  <c r="E126" i="8"/>
  <c r="D126" i="8"/>
  <c r="D51" i="10"/>
  <c r="E32" i="10"/>
  <c r="C39" i="10" s="1"/>
  <c r="P119" i="10"/>
  <c r="Q119" i="10" s="1"/>
  <c r="R119" i="10" s="1"/>
  <c r="S119" i="10" s="1"/>
  <c r="T119" i="10" s="1"/>
  <c r="U119" i="10" s="1"/>
  <c r="V119" i="10" s="1"/>
  <c r="W119" i="10" s="1"/>
  <c r="X119" i="10" s="1"/>
  <c r="Y119" i="10" s="1"/>
  <c r="Z119" i="10" s="1"/>
  <c r="AA119" i="10" s="1"/>
  <c r="AB119" i="10" s="1"/>
  <c r="AC119" i="10" s="1"/>
  <c r="AD119" i="10" s="1"/>
  <c r="AE119" i="10" s="1"/>
  <c r="AF119" i="10" s="1"/>
  <c r="AG119" i="10" s="1"/>
  <c r="AH119" i="10" s="1"/>
  <c r="AI119" i="10" s="1"/>
  <c r="AJ119" i="10" s="1"/>
  <c r="AK119" i="10" s="1"/>
  <c r="AL119" i="10" s="1"/>
  <c r="AM119" i="10" s="1"/>
  <c r="AN119" i="10" s="1"/>
  <c r="AO119" i="10" s="1"/>
  <c r="AP119" i="10" s="1"/>
  <c r="AQ119" i="10" s="1"/>
  <c r="AR119" i="10" s="1"/>
  <c r="AS119" i="10" s="1"/>
  <c r="P105" i="10"/>
  <c r="Q105" i="10" s="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AK105" i="10" s="1"/>
  <c r="AL105" i="10" s="1"/>
  <c r="AM105" i="10" s="1"/>
  <c r="AN105" i="10" s="1"/>
  <c r="AO105" i="10" s="1"/>
  <c r="AP105" i="10" s="1"/>
  <c r="AQ105" i="10" s="1"/>
  <c r="AR105" i="10" s="1"/>
  <c r="AS105" i="10" s="1"/>
  <c r="C54" i="10"/>
  <c r="E54" i="10" s="1"/>
  <c r="E55" i="10" s="1"/>
  <c r="G8" i="10" s="1"/>
  <c r="C51" i="10"/>
  <c r="E50" i="10"/>
  <c r="P78" i="10"/>
  <c r="P79" i="10" s="1"/>
  <c r="Q78" i="10"/>
  <c r="Q79" i="10" s="1"/>
  <c r="R78" i="10"/>
  <c r="R79" i="10" s="1"/>
  <c r="S78" i="10"/>
  <c r="S79" i="10" s="1"/>
  <c r="T78" i="10"/>
  <c r="T79" i="10" s="1"/>
  <c r="U78" i="10"/>
  <c r="U79" i="10" s="1"/>
  <c r="V78" i="10"/>
  <c r="V79" i="10" s="1"/>
  <c r="W78" i="10"/>
  <c r="W79" i="10" s="1"/>
  <c r="X78" i="10"/>
  <c r="X79" i="10" s="1"/>
  <c r="Y78" i="10"/>
  <c r="Y79" i="10" s="1"/>
  <c r="Z78" i="10"/>
  <c r="Z79" i="10" s="1"/>
  <c r="AA78" i="10"/>
  <c r="AA79" i="10" s="1"/>
  <c r="AB78" i="10"/>
  <c r="AB79" i="10" s="1"/>
  <c r="AC78" i="10"/>
  <c r="AC79" i="10" s="1"/>
  <c r="AD78" i="10"/>
  <c r="AD79" i="10" s="1"/>
  <c r="AE78" i="10"/>
  <c r="AE79" i="10" s="1"/>
  <c r="AF78" i="10"/>
  <c r="AF79" i="10" s="1"/>
  <c r="AG78" i="10"/>
  <c r="AG79" i="10" s="1"/>
  <c r="AH78" i="10"/>
  <c r="AH79" i="10" s="1"/>
  <c r="AI78" i="10"/>
  <c r="AI79" i="10" s="1"/>
  <c r="AJ78" i="10"/>
  <c r="AJ79" i="10" s="1"/>
  <c r="AK78" i="10"/>
  <c r="AK79" i="10" s="1"/>
  <c r="AL78" i="10"/>
  <c r="AL79" i="10" s="1"/>
  <c r="AM78" i="10"/>
  <c r="AM79" i="10" s="1"/>
  <c r="AN78" i="10"/>
  <c r="AN79" i="10" s="1"/>
  <c r="AO78" i="10"/>
  <c r="AO79" i="10" s="1"/>
  <c r="AP78" i="10"/>
  <c r="AP79" i="10" s="1"/>
  <c r="AQ78" i="10"/>
  <c r="AQ79" i="10" s="1"/>
  <c r="AR78" i="10"/>
  <c r="AR79" i="10" s="1"/>
  <c r="AS78" i="10"/>
  <c r="AS79" i="10" s="1"/>
  <c r="O91" i="10"/>
  <c r="O92" i="10" s="1"/>
  <c r="O78" i="10"/>
  <c r="O79" i="10" s="1"/>
  <c r="P76" i="10"/>
  <c r="Q76" i="10"/>
  <c r="R76" i="10"/>
  <c r="S76" i="10"/>
  <c r="T76" i="10"/>
  <c r="U76" i="10"/>
  <c r="V76" i="10"/>
  <c r="W76" i="10"/>
  <c r="X76" i="10"/>
  <c r="Y76" i="10"/>
  <c r="Z76" i="10"/>
  <c r="AA76" i="10"/>
  <c r="AB76" i="10"/>
  <c r="AC76" i="10"/>
  <c r="AD76" i="10"/>
  <c r="AE76" i="10"/>
  <c r="AF76" i="10"/>
  <c r="AG76" i="10"/>
  <c r="AH76" i="10"/>
  <c r="AI76" i="10"/>
  <c r="AJ76" i="10"/>
  <c r="AK76" i="10"/>
  <c r="AL76" i="10"/>
  <c r="AM76" i="10"/>
  <c r="AN76" i="10"/>
  <c r="AO76" i="10"/>
  <c r="AP76" i="10"/>
  <c r="AQ76" i="10"/>
  <c r="AR76" i="10"/>
  <c r="AS76" i="10"/>
  <c r="O76" i="10"/>
  <c r="E35" i="10"/>
  <c r="E36" i="10" s="1"/>
  <c r="F8" i="10" s="1"/>
  <c r="D159" i="7" s="1"/>
  <c r="E31" i="10"/>
  <c r="E123" i="7"/>
  <c r="D123" i="7"/>
  <c r="E113" i="7"/>
  <c r="D113" i="7"/>
  <c r="C21" i="10"/>
  <c r="E7" i="10" s="1"/>
  <c r="D20" i="10"/>
  <c r="D21" i="10" s="1"/>
  <c r="E8" i="10" s="1"/>
  <c r="Q91" i="10"/>
  <c r="R91" i="10"/>
  <c r="R92" i="10" s="1"/>
  <c r="S91" i="10"/>
  <c r="S92" i="10" s="1"/>
  <c r="T91" i="10"/>
  <c r="T92" i="10" s="1"/>
  <c r="U91" i="10"/>
  <c r="U92" i="10" s="1"/>
  <c r="V91" i="10"/>
  <c r="V92" i="10" s="1"/>
  <c r="W91" i="10"/>
  <c r="W92" i="10" s="1"/>
  <c r="X91" i="10"/>
  <c r="X92" i="10" s="1"/>
  <c r="Y91" i="10"/>
  <c r="Y92" i="10" s="1"/>
  <c r="Z91" i="10"/>
  <c r="Z92" i="10" s="1"/>
  <c r="AA91" i="10"/>
  <c r="AA92" i="10" s="1"/>
  <c r="AB91" i="10"/>
  <c r="AB92" i="10" s="1"/>
  <c r="AC91" i="10"/>
  <c r="AC92" i="10" s="1"/>
  <c r="AD91" i="10"/>
  <c r="AD92" i="10" s="1"/>
  <c r="AE91" i="10"/>
  <c r="AE92" i="10" s="1"/>
  <c r="AF91" i="10"/>
  <c r="AF92" i="10" s="1"/>
  <c r="AG91" i="10"/>
  <c r="AG92" i="10" s="1"/>
  <c r="AH91" i="10"/>
  <c r="AH92" i="10" s="1"/>
  <c r="AI91" i="10"/>
  <c r="AI92" i="10" s="1"/>
  <c r="AJ91" i="10"/>
  <c r="AJ92" i="10" s="1"/>
  <c r="AK91" i="10"/>
  <c r="AK92" i="10" s="1"/>
  <c r="AL91" i="10"/>
  <c r="AL92" i="10" s="1"/>
  <c r="AM91" i="10"/>
  <c r="AM92" i="10" s="1"/>
  <c r="AN91" i="10"/>
  <c r="AN92" i="10" s="1"/>
  <c r="AO91" i="10"/>
  <c r="AO92" i="10" s="1"/>
  <c r="AP91" i="10"/>
  <c r="AP92" i="10" s="1"/>
  <c r="AQ91" i="10"/>
  <c r="AQ92" i="10" s="1"/>
  <c r="AR91" i="10"/>
  <c r="AR92" i="10" s="1"/>
  <c r="AS91" i="10"/>
  <c r="AS92" i="10" s="1"/>
  <c r="P90" i="10"/>
  <c r="P91" i="10" s="1"/>
  <c r="P92" i="10" s="1"/>
  <c r="G146" i="1"/>
  <c r="G147" i="1"/>
  <c r="G135" i="1" s="1" a="1"/>
  <c r="G135" i="1" s="1"/>
  <c r="C15" i="10"/>
  <c r="C7" i="10" s="1"/>
  <c r="D146" i="1" s="1"/>
  <c r="D161" i="1" s="1"/>
  <c r="D14" i="10"/>
  <c r="D15" i="10" s="1"/>
  <c r="C8" i="10" s="1"/>
  <c r="Q92" i="10" l="1"/>
  <c r="D147" i="7" a="1"/>
  <c r="D147" i="7" s="1"/>
  <c r="R70" i="7"/>
  <c r="Q201" i="7"/>
  <c r="D136" i="8"/>
  <c r="N73" i="8"/>
  <c r="M204" i="8"/>
  <c r="M140" i="8"/>
  <c r="M181" i="8"/>
  <c r="L182" i="8"/>
  <c r="L205" i="8"/>
  <c r="L141" i="8"/>
  <c r="AP141" i="8"/>
  <c r="AH141" i="8"/>
  <c r="AN141" i="8"/>
  <c r="AI141" i="8"/>
  <c r="AO141" i="8"/>
  <c r="AG141" i="8"/>
  <c r="AE141" i="8"/>
  <c r="AL141" i="8"/>
  <c r="AD141" i="8"/>
  <c r="AK141" i="8"/>
  <c r="AC141" i="8"/>
  <c r="AF141" i="8"/>
  <c r="AM141" i="8"/>
  <c r="AJ141" i="8"/>
  <c r="AB141" i="8"/>
  <c r="E67" i="10"/>
  <c r="L142" i="8"/>
  <c r="M13" i="14"/>
  <c r="N10" i="14"/>
  <c r="D21" i="14"/>
  <c r="N26" i="14"/>
  <c r="Y11" i="14"/>
  <c r="Z11" i="14" s="1"/>
  <c r="AA11" i="14" s="1"/>
  <c r="Y12" i="14"/>
  <c r="Z12" i="14" s="1"/>
  <c r="AA12" i="14" s="1"/>
  <c r="C67" i="10"/>
  <c r="D67" i="10"/>
  <c r="I7" i="10" s="1"/>
  <c r="E165" i="8" s="1"/>
  <c r="T74" i="8"/>
  <c r="V74" i="8"/>
  <c r="N74" i="8"/>
  <c r="U74" i="8"/>
  <c r="M74" i="8"/>
  <c r="AA74" i="8"/>
  <c r="S74" i="8"/>
  <c r="Z74" i="8"/>
  <c r="Y74" i="8"/>
  <c r="Q74" i="8"/>
  <c r="X74" i="8"/>
  <c r="P74" i="8"/>
  <c r="R74" i="8"/>
  <c r="W74" i="8"/>
  <c r="O74" i="8"/>
  <c r="E159" i="7"/>
  <c r="E147" i="7" s="1" a="1"/>
  <c r="E147" i="7" s="1"/>
  <c r="E51" i="10"/>
  <c r="C58" i="10" s="1"/>
  <c r="E33" i="10"/>
  <c r="F7" i="10" s="1"/>
  <c r="D158" i="7" s="1"/>
  <c r="D173" i="7" s="1"/>
  <c r="H147" i="1"/>
  <c r="H135" i="1" s="1" a="1"/>
  <c r="H135" i="1" s="1"/>
  <c r="I147" i="1"/>
  <c r="I135" i="1" s="1" a="1"/>
  <c r="I135" i="1" s="1"/>
  <c r="J147" i="1"/>
  <c r="J135" i="1" s="1" a="1"/>
  <c r="J135" i="1" s="1"/>
  <c r="J146" i="1"/>
  <c r="H146" i="1"/>
  <c r="I146" i="1"/>
  <c r="E147" i="1"/>
  <c r="E135" i="1" s="1" a="1"/>
  <c r="E135" i="1" s="1"/>
  <c r="F147" i="1"/>
  <c r="F135" i="1" s="1" a="1"/>
  <c r="F135" i="1" s="1"/>
  <c r="D147" i="1"/>
  <c r="D135" i="1" s="1" a="1"/>
  <c r="D135" i="1" s="1"/>
  <c r="E146" i="1"/>
  <c r="F146" i="1"/>
  <c r="G220" i="8"/>
  <c r="F220" i="8"/>
  <c r="E220" i="8"/>
  <c r="D220" i="8"/>
  <c r="G219" i="8"/>
  <c r="F219" i="8"/>
  <c r="E219" i="8"/>
  <c r="D219" i="8"/>
  <c r="D212" i="8"/>
  <c r="D199" i="8"/>
  <c r="D188" i="8"/>
  <c r="D176" i="8"/>
  <c r="G152" i="8"/>
  <c r="F152" i="8"/>
  <c r="E152" i="8"/>
  <c r="D152" i="8"/>
  <c r="G164" i="8"/>
  <c r="F164" i="8"/>
  <c r="E164" i="8"/>
  <c r="D164" i="8"/>
  <c r="G161" i="8"/>
  <c r="F161" i="8"/>
  <c r="E161" i="8"/>
  <c r="D161" i="8"/>
  <c r="B121" i="8"/>
  <c r="G120" i="8"/>
  <c r="B120" i="8"/>
  <c r="B119" i="8"/>
  <c r="B118" i="8"/>
  <c r="B117" i="8"/>
  <c r="G116" i="8"/>
  <c r="F116" i="8"/>
  <c r="E116" i="8"/>
  <c r="D116" i="8"/>
  <c r="G85" i="8"/>
  <c r="F85" i="8"/>
  <c r="E85" i="8"/>
  <c r="D85" i="8"/>
  <c r="G109" i="8"/>
  <c r="F109" i="8"/>
  <c r="E109" i="8"/>
  <c r="D109" i="8"/>
  <c r="G121" i="8"/>
  <c r="F107" i="8"/>
  <c r="F121" i="8" s="1"/>
  <c r="E107" i="8"/>
  <c r="E121" i="8" s="1"/>
  <c r="D107" i="8"/>
  <c r="D121" i="8" s="1"/>
  <c r="F106" i="8"/>
  <c r="F120" i="8" s="1"/>
  <c r="E106" i="8"/>
  <c r="E120" i="8" s="1"/>
  <c r="D106" i="8"/>
  <c r="D120" i="8" s="1"/>
  <c r="G119" i="8"/>
  <c r="F105" i="8"/>
  <c r="F119" i="8" s="1"/>
  <c r="E105" i="8"/>
  <c r="E119" i="8" s="1"/>
  <c r="D105" i="8"/>
  <c r="D119" i="8" s="1"/>
  <c r="G118" i="8"/>
  <c r="F104" i="8"/>
  <c r="F118" i="8" s="1"/>
  <c r="E104" i="8"/>
  <c r="E118" i="8" s="1"/>
  <c r="D104" i="8"/>
  <c r="D118" i="8" s="1"/>
  <c r="G117" i="8"/>
  <c r="F103" i="8"/>
  <c r="F117" i="8" s="1"/>
  <c r="E103" i="8"/>
  <c r="E117" i="8" s="1"/>
  <c r="D103" i="8"/>
  <c r="D117" i="8" s="1"/>
  <c r="G102" i="8"/>
  <c r="F102" i="8"/>
  <c r="E102" i="8"/>
  <c r="D102" i="8"/>
  <c r="G99" i="8"/>
  <c r="F99" i="8"/>
  <c r="E99" i="8"/>
  <c r="D99" i="8"/>
  <c r="G78" i="8"/>
  <c r="F78" i="8"/>
  <c r="E78" i="8"/>
  <c r="D78" i="8"/>
  <c r="G58" i="8"/>
  <c r="F58" i="8"/>
  <c r="E58" i="8"/>
  <c r="D58" i="8"/>
  <c r="G51" i="8"/>
  <c r="F51" i="8"/>
  <c r="E51" i="8"/>
  <c r="D51" i="8"/>
  <c r="G41" i="8"/>
  <c r="F41" i="8"/>
  <c r="E41" i="8"/>
  <c r="D41" i="8"/>
  <c r="G36" i="8"/>
  <c r="F36" i="8"/>
  <c r="E36" i="8"/>
  <c r="D36" i="8"/>
  <c r="G30" i="8"/>
  <c r="F30" i="8"/>
  <c r="E30" i="8"/>
  <c r="D30" i="8"/>
  <c r="E216" i="7"/>
  <c r="D216" i="7"/>
  <c r="E215" i="7"/>
  <c r="D215" i="7"/>
  <c r="E145" i="7"/>
  <c r="D145" i="7"/>
  <c r="D174" i="7"/>
  <c r="E63" i="7"/>
  <c r="D63" i="7"/>
  <c r="E157" i="7"/>
  <c r="D157" i="7"/>
  <c r="E154" i="7"/>
  <c r="D154" i="7"/>
  <c r="H192" i="7" s="1"/>
  <c r="B138" i="7"/>
  <c r="B137" i="7"/>
  <c r="B136" i="7"/>
  <c r="B135" i="7"/>
  <c r="B134" i="7"/>
  <c r="E133" i="7"/>
  <c r="D133" i="7"/>
  <c r="E82" i="7"/>
  <c r="D82" i="7"/>
  <c r="E106" i="7"/>
  <c r="D106" i="7"/>
  <c r="E104" i="7"/>
  <c r="E138" i="7" s="1"/>
  <c r="D104" i="7"/>
  <c r="D138" i="7" s="1"/>
  <c r="E103" i="7"/>
  <c r="E137" i="7" s="1"/>
  <c r="D103" i="7"/>
  <c r="D137" i="7" s="1"/>
  <c r="E102" i="7"/>
  <c r="E136" i="7" s="1"/>
  <c r="D102" i="7"/>
  <c r="D136" i="7" s="1"/>
  <c r="E101" i="7"/>
  <c r="E135" i="7" s="1"/>
  <c r="D101" i="7"/>
  <c r="D135" i="7" s="1"/>
  <c r="E100" i="7"/>
  <c r="E134" i="7" s="1"/>
  <c r="D100" i="7"/>
  <c r="D134" i="7" s="1"/>
  <c r="E99" i="7"/>
  <c r="D99" i="7"/>
  <c r="E96" i="7"/>
  <c r="D96" i="7"/>
  <c r="E75" i="7"/>
  <c r="D75" i="7"/>
  <c r="E56" i="7"/>
  <c r="D56" i="7"/>
  <c r="E49" i="7"/>
  <c r="D49" i="7"/>
  <c r="E39" i="7"/>
  <c r="D39" i="7"/>
  <c r="E34" i="7"/>
  <c r="D34" i="7"/>
  <c r="E28" i="7"/>
  <c r="D28" i="7"/>
  <c r="J55" i="1"/>
  <c r="I55" i="1"/>
  <c r="H55" i="1"/>
  <c r="G55" i="1"/>
  <c r="F55" i="1"/>
  <c r="E55" i="1"/>
  <c r="D55" i="1"/>
  <c r="J40" i="1"/>
  <c r="I40" i="1"/>
  <c r="H40" i="1"/>
  <c r="G40" i="1"/>
  <c r="F40" i="1"/>
  <c r="E40" i="1"/>
  <c r="D40" i="1"/>
  <c r="J62" i="1"/>
  <c r="I62" i="1"/>
  <c r="H62" i="1"/>
  <c r="G62" i="1"/>
  <c r="F62" i="1"/>
  <c r="E62" i="1"/>
  <c r="D62" i="1"/>
  <c r="E205" i="1"/>
  <c r="F205" i="1"/>
  <c r="G205" i="1"/>
  <c r="H205" i="1"/>
  <c r="I205" i="1"/>
  <c r="J205" i="1"/>
  <c r="D205" i="1"/>
  <c r="J204" i="1"/>
  <c r="I204" i="1"/>
  <c r="H204" i="1"/>
  <c r="G204" i="1"/>
  <c r="F204" i="1"/>
  <c r="E204" i="1"/>
  <c r="D204" i="1"/>
  <c r="D150" i="1"/>
  <c r="D162" i="1" s="1"/>
  <c r="J133" i="1"/>
  <c r="I133" i="1"/>
  <c r="H133" i="1"/>
  <c r="G133" i="1"/>
  <c r="F133" i="1"/>
  <c r="E133" i="1"/>
  <c r="D133" i="1"/>
  <c r="AO15" i="11"/>
  <c r="AO16" i="11"/>
  <c r="M14" i="11"/>
  <c r="N14" i="11" s="1"/>
  <c r="O14" i="11" s="1"/>
  <c r="P14" i="11" s="1"/>
  <c r="Q14" i="11" s="1"/>
  <c r="R14" i="11" s="1"/>
  <c r="S14" i="11" s="1"/>
  <c r="T14" i="11" s="1"/>
  <c r="U14" i="11" s="1"/>
  <c r="V14" i="11" s="1"/>
  <c r="W14" i="11" s="1"/>
  <c r="X14" i="11" s="1"/>
  <c r="Y14" i="11" s="1"/>
  <c r="Z14" i="11" s="1"/>
  <c r="AA14" i="11" s="1"/>
  <c r="AB14" i="11" s="1"/>
  <c r="AC14" i="11" s="1"/>
  <c r="AD14" i="11" s="1"/>
  <c r="AE14" i="11" s="1"/>
  <c r="AF14" i="11" s="1"/>
  <c r="AG14" i="11" s="1"/>
  <c r="AH14" i="11" s="1"/>
  <c r="AI14" i="11" s="1"/>
  <c r="AJ14" i="11" s="1"/>
  <c r="AK14" i="11" s="1"/>
  <c r="AL14" i="11" s="1"/>
  <c r="AM14" i="11" s="1"/>
  <c r="AN14" i="11" s="1"/>
  <c r="AO14" i="11" s="1"/>
  <c r="L14" i="11"/>
  <c r="P87" i="10"/>
  <c r="Q87" i="10" s="1"/>
  <c r="R87" i="10" s="1"/>
  <c r="S87" i="10" s="1"/>
  <c r="T87" i="10" s="1"/>
  <c r="U87" i="10" s="1"/>
  <c r="V87" i="10" s="1"/>
  <c r="W87" i="10" s="1"/>
  <c r="X87" i="10" s="1"/>
  <c r="Y87" i="10" s="1"/>
  <c r="Z87" i="10" s="1"/>
  <c r="AA87" i="10" s="1"/>
  <c r="AB87" i="10" s="1"/>
  <c r="AC87" i="10" s="1"/>
  <c r="AD87" i="10" s="1"/>
  <c r="AE87" i="10" s="1"/>
  <c r="AF87" i="10" s="1"/>
  <c r="AG87" i="10" s="1"/>
  <c r="AH87" i="10" s="1"/>
  <c r="AI87" i="10" s="1"/>
  <c r="AJ87" i="10" s="1"/>
  <c r="AK87" i="10" s="1"/>
  <c r="AL87" i="10" s="1"/>
  <c r="AM87" i="10" s="1"/>
  <c r="AN87" i="10" s="1"/>
  <c r="AO87" i="10" s="1"/>
  <c r="AP87" i="10" s="1"/>
  <c r="AQ87" i="10" s="1"/>
  <c r="AR87" i="10" s="1"/>
  <c r="AS87" i="10" s="1"/>
  <c r="P74" i="10"/>
  <c r="Q74" i="10" s="1"/>
  <c r="R74" i="10" s="1"/>
  <c r="S74" i="10" s="1"/>
  <c r="T74" i="10" s="1"/>
  <c r="U74" i="10" s="1"/>
  <c r="V74" i="10" s="1"/>
  <c r="W74" i="10" s="1"/>
  <c r="X74" i="10" s="1"/>
  <c r="Y74" i="10" s="1"/>
  <c r="Z74" i="10" s="1"/>
  <c r="AA74" i="10" s="1"/>
  <c r="AB74" i="10" s="1"/>
  <c r="AC74" i="10" s="1"/>
  <c r="AD74" i="10" s="1"/>
  <c r="AE74" i="10" s="1"/>
  <c r="AF74" i="10" s="1"/>
  <c r="AG74" i="10" s="1"/>
  <c r="AH74" i="10" s="1"/>
  <c r="AI74" i="10" s="1"/>
  <c r="AJ74" i="10" s="1"/>
  <c r="AK74" i="10" s="1"/>
  <c r="AL74" i="10" s="1"/>
  <c r="AM74" i="10" s="1"/>
  <c r="AN74" i="10" s="1"/>
  <c r="AO74" i="10" s="1"/>
  <c r="AP74" i="10" s="1"/>
  <c r="AQ74" i="10" s="1"/>
  <c r="AR74" i="10" s="1"/>
  <c r="AS74" i="10" s="1"/>
  <c r="I134" i="1" l="1" a="1"/>
  <c r="I134" i="1" s="1"/>
  <c r="H134" i="1" a="1"/>
  <c r="H134" i="1" s="1"/>
  <c r="F134" i="1" a="1"/>
  <c r="F134" i="1" s="1"/>
  <c r="J134" i="1" a="1"/>
  <c r="J134" i="1" s="1"/>
  <c r="D134" i="1" a="1"/>
  <c r="D134" i="1" s="1"/>
  <c r="E134" i="1" a="1"/>
  <c r="E134" i="1" s="1"/>
  <c r="G134" i="1" a="1"/>
  <c r="G134" i="1" s="1"/>
  <c r="D197" i="7"/>
  <c r="R202" i="7"/>
  <c r="AF202" i="7"/>
  <c r="AD204" i="7"/>
  <c r="AC205" i="7"/>
  <c r="M179" i="7"/>
  <c r="AA179" i="7"/>
  <c r="AO179" i="7"/>
  <c r="Y180" i="7"/>
  <c r="AM180" i="7"/>
  <c r="AL181" i="7"/>
  <c r="AK182" i="7"/>
  <c r="AL182" i="7"/>
  <c r="AJ202" i="7"/>
  <c r="Q179" i="7"/>
  <c r="O180" i="7"/>
  <c r="AP181" i="7"/>
  <c r="AK202" i="7"/>
  <c r="AH205" i="7"/>
  <c r="AD180" i="7"/>
  <c r="AP182" i="7"/>
  <c r="AI205" i="7"/>
  <c r="AD181" i="7"/>
  <c r="AM202" i="7"/>
  <c r="AJ205" i="7"/>
  <c r="AF180" i="7"/>
  <c r="AN202" i="7"/>
  <c r="AK205" i="7"/>
  <c r="S180" i="7"/>
  <c r="AE182" i="7"/>
  <c r="V179" i="7"/>
  <c r="AH180" i="7"/>
  <c r="AF182" i="7"/>
  <c r="S202" i="7"/>
  <c r="AG202" i="7"/>
  <c r="AE204" i="7"/>
  <c r="AD205" i="7"/>
  <c r="N179" i="7"/>
  <c r="AB179" i="7"/>
  <c r="AP179" i="7"/>
  <c r="Z180" i="7"/>
  <c r="AN180" i="7"/>
  <c r="AM181" i="7"/>
  <c r="AF179" i="7"/>
  <c r="Q180" i="7"/>
  <c r="T179" i="7"/>
  <c r="AI179" i="7"/>
  <c r="AJ179" i="7"/>
  <c r="T202" i="7"/>
  <c r="AH202" i="7"/>
  <c r="AF204" i="7"/>
  <c r="AE205" i="7"/>
  <c r="O179" i="7"/>
  <c r="AC179" i="7"/>
  <c r="M180" i="7"/>
  <c r="AA180" i="7"/>
  <c r="AO180" i="7"/>
  <c r="AN181" i="7"/>
  <c r="AM182" i="7"/>
  <c r="U202" i="7"/>
  <c r="AI202" i="7"/>
  <c r="AG204" i="7"/>
  <c r="AF205" i="7"/>
  <c r="P179" i="7"/>
  <c r="AD179" i="7"/>
  <c r="N180" i="7"/>
  <c r="AB180" i="7"/>
  <c r="AP180" i="7"/>
  <c r="AO181" i="7"/>
  <c r="AN182" i="7"/>
  <c r="V202" i="7"/>
  <c r="AH204" i="7"/>
  <c r="AG205" i="7"/>
  <c r="AE179" i="7"/>
  <c r="AC180" i="7"/>
  <c r="AB181" i="7"/>
  <c r="AO182" i="7"/>
  <c r="W202" i="7"/>
  <c r="AI204" i="7"/>
  <c r="R179" i="7"/>
  <c r="P180" i="7"/>
  <c r="AC181" i="7"/>
  <c r="AB182" i="7"/>
  <c r="X202" i="7"/>
  <c r="AL202" i="7"/>
  <c r="AJ204" i="7"/>
  <c r="S179" i="7"/>
  <c r="AG179" i="7"/>
  <c r="AE180" i="7"/>
  <c r="AC182" i="7"/>
  <c r="Y202" i="7"/>
  <c r="AK204" i="7"/>
  <c r="AH179" i="7"/>
  <c r="R180" i="7"/>
  <c r="AE181" i="7"/>
  <c r="AD182" i="7"/>
  <c r="Z202" i="7"/>
  <c r="AL204" i="7"/>
  <c r="U179" i="7"/>
  <c r="AG180" i="7"/>
  <c r="AF181" i="7"/>
  <c r="M202" i="7"/>
  <c r="AA202" i="7"/>
  <c r="AO202" i="7"/>
  <c r="AM204" i="7"/>
  <c r="AL205" i="7"/>
  <c r="T180" i="7"/>
  <c r="AG181" i="7"/>
  <c r="N202" i="7"/>
  <c r="AB202" i="7"/>
  <c r="AP202" i="7"/>
  <c r="W179" i="7"/>
  <c r="AK180" i="7"/>
  <c r="X179" i="7"/>
  <c r="AL180" i="7"/>
  <c r="Y179" i="7"/>
  <c r="AH181" i="7"/>
  <c r="Z179" i="7"/>
  <c r="AI181" i="7"/>
  <c r="L179" i="7"/>
  <c r="AB204" i="7"/>
  <c r="AK179" i="7"/>
  <c r="AJ181" i="7"/>
  <c r="AC204" i="7"/>
  <c r="AL179" i="7"/>
  <c r="AK181" i="7"/>
  <c r="AN204" i="7"/>
  <c r="AM179" i="7"/>
  <c r="AG182" i="7"/>
  <c r="AO204" i="7"/>
  <c r="AN179" i="7"/>
  <c r="AH182" i="7"/>
  <c r="O202" i="7"/>
  <c r="AP204" i="7"/>
  <c r="U180" i="7"/>
  <c r="AI182" i="7"/>
  <c r="P202" i="7"/>
  <c r="AB205" i="7"/>
  <c r="V180" i="7"/>
  <c r="AJ182" i="7"/>
  <c r="Q202" i="7"/>
  <c r="AM205" i="7"/>
  <c r="W180" i="7"/>
  <c r="AC202" i="7"/>
  <c r="AN205" i="7"/>
  <c r="X180" i="7"/>
  <c r="AD202" i="7"/>
  <c r="AO205" i="7"/>
  <c r="AI180" i="7"/>
  <c r="AE202" i="7"/>
  <c r="AP205" i="7"/>
  <c r="AJ180" i="7"/>
  <c r="S70" i="7"/>
  <c r="R201" i="7"/>
  <c r="O204" i="7"/>
  <c r="M205" i="7"/>
  <c r="AA205" i="7"/>
  <c r="P204" i="7"/>
  <c r="N205" i="7"/>
  <c r="W205" i="7"/>
  <c r="M204" i="7"/>
  <c r="V205" i="7"/>
  <c r="Y205" i="7"/>
  <c r="N204" i="7"/>
  <c r="Q204" i="7"/>
  <c r="O205" i="7"/>
  <c r="L205" i="7"/>
  <c r="V204" i="7"/>
  <c r="W204" i="7"/>
  <c r="AA204" i="7"/>
  <c r="Z205" i="7"/>
  <c r="R204" i="7"/>
  <c r="P205" i="7"/>
  <c r="L204" i="7"/>
  <c r="U205" i="7"/>
  <c r="Z204" i="7"/>
  <c r="S204" i="7"/>
  <c r="Q205" i="7"/>
  <c r="T204" i="7"/>
  <c r="R205" i="7"/>
  <c r="U204" i="7"/>
  <c r="S205" i="7"/>
  <c r="T205" i="7"/>
  <c r="X204" i="7"/>
  <c r="Y204" i="7"/>
  <c r="X205" i="7"/>
  <c r="AM143" i="8"/>
  <c r="AK143" i="8"/>
  <c r="AH143" i="8"/>
  <c r="AD143" i="8"/>
  <c r="AP143" i="8"/>
  <c r="AN143" i="8"/>
  <c r="AL143" i="8"/>
  <c r="AB143" i="8"/>
  <c r="AE143" i="8"/>
  <c r="AC143" i="8"/>
  <c r="AJ143" i="8"/>
  <c r="AG143" i="8"/>
  <c r="AO143" i="8"/>
  <c r="AF143" i="8"/>
  <c r="AI143" i="8"/>
  <c r="L143" i="8"/>
  <c r="C22" i="7"/>
  <c r="O73" i="8"/>
  <c r="N140" i="8"/>
  <c r="N181" i="8"/>
  <c r="N204" i="8"/>
  <c r="H172" i="8"/>
  <c r="D177" i="8"/>
  <c r="P141" i="8"/>
  <c r="P143" i="8" s="1"/>
  <c r="U141" i="8"/>
  <c r="U143" i="8" s="1"/>
  <c r="R141" i="8"/>
  <c r="R143" i="8" s="1"/>
  <c r="X141" i="8"/>
  <c r="X143" i="8" s="1"/>
  <c r="N141" i="8"/>
  <c r="N143" i="8" s="1"/>
  <c r="M141" i="8"/>
  <c r="M143" i="8" s="1"/>
  <c r="Q141" i="8"/>
  <c r="Q143" i="8" s="1"/>
  <c r="V141" i="8"/>
  <c r="V143" i="8" s="1"/>
  <c r="Y141" i="8"/>
  <c r="Y143" i="8" s="1"/>
  <c r="T141" i="8"/>
  <c r="T143" i="8" s="1"/>
  <c r="Z141" i="8"/>
  <c r="Z143" i="8" s="1"/>
  <c r="O141" i="8"/>
  <c r="O143" i="8" s="1"/>
  <c r="S141" i="8"/>
  <c r="S143" i="8" s="1"/>
  <c r="F91" i="8"/>
  <c r="W141" i="8"/>
  <c r="W143" i="8" s="1"/>
  <c r="AA141" i="8"/>
  <c r="AA143" i="8" s="1"/>
  <c r="J7" i="10"/>
  <c r="F165" i="8" s="1"/>
  <c r="F153" i="8" s="1"/>
  <c r="C24" i="8"/>
  <c r="H7" i="10"/>
  <c r="D165" i="8" s="1"/>
  <c r="D153" i="8" s="1"/>
  <c r="L209" i="8"/>
  <c r="E154" i="8"/>
  <c r="O10" i="14"/>
  <c r="O13" i="14" s="1"/>
  <c r="N13" i="14"/>
  <c r="O26" i="14"/>
  <c r="P10" i="14"/>
  <c r="Q10" i="14"/>
  <c r="Q13" i="14" s="1"/>
  <c r="F154" i="8"/>
  <c r="E153" i="8"/>
  <c r="G153" i="8"/>
  <c r="G154" i="8"/>
  <c r="G91" i="8"/>
  <c r="E91" i="8"/>
  <c r="E52" i="10"/>
  <c r="G7" i="10" s="1"/>
  <c r="E158" i="7" s="1"/>
  <c r="C40" i="10"/>
  <c r="D139" i="7"/>
  <c r="D87" i="7" s="1"/>
  <c r="E122" i="8"/>
  <c r="E90" i="8" s="1"/>
  <c r="D122" i="8"/>
  <c r="H195" i="8"/>
  <c r="G122" i="8"/>
  <c r="G90" i="8" s="1"/>
  <c r="F122" i="8"/>
  <c r="F90" i="8" s="1"/>
  <c r="D200" i="8"/>
  <c r="E139" i="7"/>
  <c r="E87" i="7" s="1"/>
  <c r="E91" i="7" s="1"/>
  <c r="AE206" i="7" l="1"/>
  <c r="AG206" i="7"/>
  <c r="AF206" i="7"/>
  <c r="AD206" i="7"/>
  <c r="AC206" i="7"/>
  <c r="AB206" i="7"/>
  <c r="AO206" i="7"/>
  <c r="AN206" i="7"/>
  <c r="AM206" i="7"/>
  <c r="AP206" i="7"/>
  <c r="AL206" i="7"/>
  <c r="AK206" i="7"/>
  <c r="AH206" i="7"/>
  <c r="AI206" i="7"/>
  <c r="AJ206" i="7"/>
  <c r="T70" i="7"/>
  <c r="S201" i="7"/>
  <c r="R206" i="7"/>
  <c r="V206" i="7"/>
  <c r="M206" i="7"/>
  <c r="W206" i="7"/>
  <c r="T206" i="7"/>
  <c r="X206" i="7"/>
  <c r="Y206" i="7"/>
  <c r="N206" i="7"/>
  <c r="U206" i="7"/>
  <c r="AA206" i="7"/>
  <c r="O206" i="7"/>
  <c r="S206" i="7"/>
  <c r="R181" i="7"/>
  <c r="S181" i="7"/>
  <c r="M182" i="7"/>
  <c r="T181" i="7"/>
  <c r="M181" i="7"/>
  <c r="U181" i="7"/>
  <c r="Z181" i="7"/>
  <c r="O181" i="7"/>
  <c r="P181" i="7"/>
  <c r="Q181" i="7"/>
  <c r="V181" i="7"/>
  <c r="W181" i="7"/>
  <c r="X181" i="7"/>
  <c r="Y181" i="7"/>
  <c r="AA181" i="7"/>
  <c r="N181" i="7"/>
  <c r="Z206" i="7"/>
  <c r="P206" i="7"/>
  <c r="Q206" i="7"/>
  <c r="D175" i="7"/>
  <c r="D91" i="7"/>
  <c r="L184" i="8"/>
  <c r="AA186" i="8"/>
  <c r="T186" i="8"/>
  <c r="Q186" i="8"/>
  <c r="M186" i="8"/>
  <c r="W186" i="8"/>
  <c r="R186" i="8"/>
  <c r="N186" i="8"/>
  <c r="P73" i="8"/>
  <c r="O140" i="8"/>
  <c r="O181" i="8"/>
  <c r="O204" i="8"/>
  <c r="V210" i="8"/>
  <c r="L210" i="8"/>
  <c r="O210" i="8"/>
  <c r="S210" i="8"/>
  <c r="T210" i="8"/>
  <c r="P210" i="8"/>
  <c r="X210" i="8"/>
  <c r="Z210" i="8"/>
  <c r="R210" i="8"/>
  <c r="L186" i="8"/>
  <c r="G94" i="8"/>
  <c r="G221" i="8" s="1"/>
  <c r="E94" i="8"/>
  <c r="F94" i="8"/>
  <c r="F221" i="8" s="1"/>
  <c r="AB186" i="8"/>
  <c r="AJ186" i="8"/>
  <c r="AC210" i="8"/>
  <c r="AK210" i="8"/>
  <c r="AD186" i="8"/>
  <c r="AL186" i="8"/>
  <c r="AE210" i="8"/>
  <c r="AM210" i="8"/>
  <c r="AB210" i="8"/>
  <c r="AC186" i="8"/>
  <c r="AK186" i="8"/>
  <c r="AD210" i="8"/>
  <c r="AL210" i="8"/>
  <c r="AH186" i="8"/>
  <c r="AI186" i="8"/>
  <c r="AE186" i="8"/>
  <c r="AM186" i="8"/>
  <c r="AF210" i="8"/>
  <c r="AN210" i="8"/>
  <c r="AF186" i="8"/>
  <c r="AN186" i="8"/>
  <c r="AG210" i="8"/>
  <c r="AO210" i="8"/>
  <c r="AG186" i="8"/>
  <c r="AO186" i="8"/>
  <c r="AH210" i="8"/>
  <c r="AP210" i="8"/>
  <c r="AP186" i="8"/>
  <c r="AI210" i="8"/>
  <c r="AJ210" i="8"/>
  <c r="P26" i="14"/>
  <c r="P13" i="14"/>
  <c r="R10" i="14"/>
  <c r="R13" i="14" s="1"/>
  <c r="Q26" i="14"/>
  <c r="F43" i="8"/>
  <c r="D43" i="8"/>
  <c r="E43" i="8"/>
  <c r="D90" i="8"/>
  <c r="D94" i="8" s="1"/>
  <c r="D146" i="8"/>
  <c r="C59" i="10"/>
  <c r="X110" i="10" s="1"/>
  <c r="AM109" i="10"/>
  <c r="X109" i="10"/>
  <c r="U182" i="7" s="1"/>
  <c r="Y109" i="10"/>
  <c r="V182" i="7" s="1"/>
  <c r="AO109" i="10"/>
  <c r="R109" i="10"/>
  <c r="O182" i="7" s="1"/>
  <c r="Z109" i="10"/>
  <c r="W182" i="7" s="1"/>
  <c r="AH109" i="10"/>
  <c r="AP109" i="10"/>
  <c r="U109" i="10"/>
  <c r="R182" i="7" s="1"/>
  <c r="AC109" i="10"/>
  <c r="Z182" i="7" s="1"/>
  <c r="AK109" i="10"/>
  <c r="AS109" i="10"/>
  <c r="V109" i="10"/>
  <c r="S182" i="7" s="1"/>
  <c r="W109" i="10"/>
  <c r="T182" i="7" s="1"/>
  <c r="AF109" i="10"/>
  <c r="S109" i="10"/>
  <c r="P182" i="7" s="1"/>
  <c r="AA109" i="10"/>
  <c r="X182" i="7" s="1"/>
  <c r="AI109" i="10"/>
  <c r="AQ109" i="10"/>
  <c r="Q109" i="10"/>
  <c r="AD109" i="10"/>
  <c r="AA182" i="7" s="1"/>
  <c r="AG109" i="10"/>
  <c r="T109" i="10"/>
  <c r="Q182" i="7" s="1"/>
  <c r="AB109" i="10"/>
  <c r="Y182" i="7" s="1"/>
  <c r="AJ109" i="10"/>
  <c r="AR109" i="10"/>
  <c r="AL109" i="10"/>
  <c r="AE109" i="10"/>
  <c r="AN109" i="10"/>
  <c r="G42" i="8"/>
  <c r="G43" i="8"/>
  <c r="E217" i="7"/>
  <c r="E29" i="7"/>
  <c r="D217" i="7" l="1"/>
  <c r="D29" i="7"/>
  <c r="D146" i="7" a="1"/>
  <c r="D146" i="7" s="1"/>
  <c r="N182" i="7"/>
  <c r="N183" i="7" s="1"/>
  <c r="U70" i="7"/>
  <c r="T201" i="7"/>
  <c r="M183" i="7"/>
  <c r="V183" i="7"/>
  <c r="AL183" i="7"/>
  <c r="W183" i="7"/>
  <c r="AE183" i="7"/>
  <c r="AM183" i="7"/>
  <c r="O183" i="7"/>
  <c r="P183" i="7"/>
  <c r="X183" i="7"/>
  <c r="AF183" i="7"/>
  <c r="AN183" i="7"/>
  <c r="AD183" i="7"/>
  <c r="Q183" i="7"/>
  <c r="Y183" i="7"/>
  <c r="AG183" i="7"/>
  <c r="AO183" i="7"/>
  <c r="Z183" i="7"/>
  <c r="AH183" i="7"/>
  <c r="AP183" i="7"/>
  <c r="R183" i="7"/>
  <c r="S183" i="7"/>
  <c r="AA183" i="7"/>
  <c r="AI183" i="7"/>
  <c r="L183" i="7"/>
  <c r="T183" i="7"/>
  <c r="AB183" i="7"/>
  <c r="AJ183" i="7"/>
  <c r="U183" i="7"/>
  <c r="AC183" i="7"/>
  <c r="AK183" i="7"/>
  <c r="D35" i="7"/>
  <c r="Y186" i="8"/>
  <c r="U186" i="8"/>
  <c r="AA210" i="8"/>
  <c r="W210" i="8"/>
  <c r="M210" i="8"/>
  <c r="P186" i="8"/>
  <c r="V186" i="8"/>
  <c r="N210" i="8"/>
  <c r="S186" i="8"/>
  <c r="X186" i="8"/>
  <c r="Q210" i="8"/>
  <c r="U210" i="8"/>
  <c r="Y210" i="8"/>
  <c r="Z186" i="8"/>
  <c r="Q73" i="8"/>
  <c r="P181" i="8"/>
  <c r="P140" i="8"/>
  <c r="P204" i="8"/>
  <c r="G31" i="8"/>
  <c r="G37" i="8" s="1"/>
  <c r="O186" i="8"/>
  <c r="S10" i="14"/>
  <c r="S13" i="14" s="1"/>
  <c r="R26" i="14"/>
  <c r="G44" i="8"/>
  <c r="G32" i="8" s="1"/>
  <c r="G38" i="8" s="1"/>
  <c r="F31" i="8"/>
  <c r="F37" i="8" s="1"/>
  <c r="AC110" i="10"/>
  <c r="AQ110" i="10"/>
  <c r="AK110" i="10"/>
  <c r="AI110" i="10"/>
  <c r="R110" i="10"/>
  <c r="Z110" i="10"/>
  <c r="U110" i="10"/>
  <c r="AD110" i="10"/>
  <c r="AL110" i="10"/>
  <c r="S110" i="10"/>
  <c r="AG110" i="10"/>
  <c r="AM110" i="10"/>
  <c r="AR110" i="10"/>
  <c r="Q110" i="10"/>
  <c r="Y110" i="10"/>
  <c r="AE110" i="10"/>
  <c r="AJ110" i="10"/>
  <c r="V110" i="10"/>
  <c r="AN110" i="10"/>
  <c r="AO110" i="10"/>
  <c r="W110" i="10"/>
  <c r="AB110" i="10"/>
  <c r="AP110" i="10"/>
  <c r="AF110" i="10"/>
  <c r="AA110" i="10"/>
  <c r="AS110" i="10"/>
  <c r="T110" i="10"/>
  <c r="AH110" i="10"/>
  <c r="D31" i="8"/>
  <c r="D221" i="8"/>
  <c r="D41" i="7"/>
  <c r="E41" i="7"/>
  <c r="I13" i="13"/>
  <c r="F155" i="8"/>
  <c r="F222" i="8" s="1"/>
  <c r="F223" i="8" s="1"/>
  <c r="F33" i="8" s="1"/>
  <c r="F42" i="8"/>
  <c r="F44" i="8" s="1"/>
  <c r="F32" i="8" s="1"/>
  <c r="D155" i="8"/>
  <c r="D222" i="8" s="1"/>
  <c r="D42" i="8"/>
  <c r="D44" i="8" s="1"/>
  <c r="D32" i="8" s="1"/>
  <c r="G155" i="8"/>
  <c r="G222" i="8" s="1"/>
  <c r="G223" i="8" s="1"/>
  <c r="G33" i="8" s="1"/>
  <c r="E155" i="8"/>
  <c r="E222" i="8" s="1"/>
  <c r="E42" i="8"/>
  <c r="E44" i="8" s="1"/>
  <c r="E32" i="8" s="1"/>
  <c r="E35" i="7"/>
  <c r="E146" i="7" l="1" a="1"/>
  <c r="E146" i="7" s="1"/>
  <c r="E148" i="7" s="1"/>
  <c r="E218" i="7" s="1"/>
  <c r="E219" i="7" s="1"/>
  <c r="E31" i="7" s="1"/>
  <c r="V70" i="7"/>
  <c r="U201" i="7"/>
  <c r="D213" i="8"/>
  <c r="D186" i="7"/>
  <c r="D40" i="7"/>
  <c r="D42" i="7" s="1"/>
  <c r="D30" i="7" s="1"/>
  <c r="D36" i="7" s="1"/>
  <c r="D37" i="7" s="1"/>
  <c r="D189" i="8"/>
  <c r="R73" i="8"/>
  <c r="Q181" i="8"/>
  <c r="Q204" i="8"/>
  <c r="Q140" i="8"/>
  <c r="N14" i="13"/>
  <c r="G53" i="8"/>
  <c r="T10" i="14"/>
  <c r="T13" i="14" s="1"/>
  <c r="S26" i="14"/>
  <c r="D37" i="8"/>
  <c r="D223" i="8"/>
  <c r="D33" i="8" s="1"/>
  <c r="D34" i="8" s="1"/>
  <c r="G39" i="8"/>
  <c r="G34" i="8"/>
  <c r="G61" i="8" s="1"/>
  <c r="F38" i="8"/>
  <c r="F39" i="8" s="1"/>
  <c r="F53" i="8"/>
  <c r="F34" i="8"/>
  <c r="E38" i="8"/>
  <c r="E53" i="8"/>
  <c r="D53" i="8"/>
  <c r="D38" i="8"/>
  <c r="W70" i="7" l="1"/>
  <c r="V201" i="7"/>
  <c r="S73" i="8"/>
  <c r="R181" i="8"/>
  <c r="R204" i="8"/>
  <c r="R140" i="8"/>
  <c r="D39" i="8"/>
  <c r="U10" i="14"/>
  <c r="U13" i="14" s="1"/>
  <c r="T26" i="14"/>
  <c r="E40" i="7"/>
  <c r="E42" i="7" s="1"/>
  <c r="E30" i="7" s="1"/>
  <c r="E32" i="7" s="1"/>
  <c r="E45" i="7" s="1"/>
  <c r="D148" i="7"/>
  <c r="D218" i="7" s="1"/>
  <c r="D219" i="7" s="1"/>
  <c r="D31" i="7" s="1"/>
  <c r="D32" i="7" s="1"/>
  <c r="D58" i="7" s="1"/>
  <c r="D51" i="7"/>
  <c r="F60" i="8"/>
  <c r="F47" i="8"/>
  <c r="F52" i="8"/>
  <c r="F59" i="8"/>
  <c r="F61" i="8"/>
  <c r="D59" i="8"/>
  <c r="D60" i="8"/>
  <c r="D47" i="8"/>
  <c r="D52" i="8"/>
  <c r="G47" i="8"/>
  <c r="G52" i="8"/>
  <c r="G59" i="8"/>
  <c r="G60" i="8"/>
  <c r="D61" i="8"/>
  <c r="I14" i="13" l="1"/>
  <c r="X70" i="7"/>
  <c r="W201" i="7"/>
  <c r="T73" i="8"/>
  <c r="S204" i="8"/>
  <c r="S181" i="8"/>
  <c r="S140" i="8"/>
  <c r="G54" i="8"/>
  <c r="D54" i="8"/>
  <c r="F54" i="8"/>
  <c r="V10" i="14"/>
  <c r="V13" i="14" s="1"/>
  <c r="U26" i="14"/>
  <c r="E58" i="7"/>
  <c r="E36" i="7"/>
  <c r="E37" i="7" s="1"/>
  <c r="E50" i="7"/>
  <c r="E51" i="7"/>
  <c r="E57" i="7"/>
  <c r="E59" i="7"/>
  <c r="D50" i="7"/>
  <c r="D52" i="7" s="1"/>
  <c r="D57" i="7"/>
  <c r="I12" i="13"/>
  <c r="D45" i="7"/>
  <c r="D59" i="7"/>
  <c r="Y70" i="7" l="1"/>
  <c r="X201" i="7"/>
  <c r="U73" i="8"/>
  <c r="T181" i="8"/>
  <c r="T140" i="8"/>
  <c r="T204" i="8"/>
  <c r="V26" i="14"/>
  <c r="W10" i="14"/>
  <c r="W13" i="14" s="1"/>
  <c r="E52" i="7"/>
  <c r="Z70" i="7" l="1"/>
  <c r="Y201" i="7"/>
  <c r="V73" i="8"/>
  <c r="U140" i="8"/>
  <c r="U204" i="8"/>
  <c r="U181" i="8"/>
  <c r="X10" i="14"/>
  <c r="X13" i="14" s="1"/>
  <c r="W26" i="14"/>
  <c r="AA70" i="7" l="1"/>
  <c r="Z201" i="7"/>
  <c r="W73" i="8"/>
  <c r="V140" i="8"/>
  <c r="V181" i="8"/>
  <c r="V204" i="8"/>
  <c r="X26" i="14"/>
  <c r="Y10" i="14"/>
  <c r="Y13" i="14" s="1"/>
  <c r="AB70" i="7" l="1"/>
  <c r="AA201" i="7"/>
  <c r="X73" i="8"/>
  <c r="W140" i="8"/>
  <c r="W181" i="8"/>
  <c r="W204" i="8"/>
  <c r="Z10" i="14"/>
  <c r="Z13" i="14" s="1"/>
  <c r="Y26" i="14"/>
  <c r="AC70" i="7" l="1"/>
  <c r="AB201" i="7"/>
  <c r="Y73" i="8"/>
  <c r="X181" i="8"/>
  <c r="X140" i="8"/>
  <c r="X204" i="8"/>
  <c r="AA10" i="14"/>
  <c r="Z26" i="14"/>
  <c r="AD70" i="7" l="1"/>
  <c r="AC201" i="7"/>
  <c r="Z73" i="8"/>
  <c r="Y181" i="8"/>
  <c r="Y204" i="8"/>
  <c r="Y140" i="8"/>
  <c r="AA26" i="14"/>
  <c r="D29" i="14" s="1"/>
  <c r="AA13" i="14"/>
  <c r="D16" i="14" s="1"/>
  <c r="AE70" i="7" l="1"/>
  <c r="AD201" i="7"/>
  <c r="AA73" i="8"/>
  <c r="Z181" i="8"/>
  <c r="Z204" i="8"/>
  <c r="Z140" i="8"/>
  <c r="AF70" i="7" l="1"/>
  <c r="AE201" i="7"/>
  <c r="AB73" i="8"/>
  <c r="AA204" i="8"/>
  <c r="AA140" i="8"/>
  <c r="AA181" i="8"/>
  <c r="AG70" i="7" l="1"/>
  <c r="AF201" i="7"/>
  <c r="AC73" i="8"/>
  <c r="AB181" i="8"/>
  <c r="AB140" i="8"/>
  <c r="AB204" i="8"/>
  <c r="AH70" i="7" l="1"/>
  <c r="AG201" i="7"/>
  <c r="AD73" i="8"/>
  <c r="AC181" i="8"/>
  <c r="AC204" i="8"/>
  <c r="AC140" i="8"/>
  <c r="E31" i="8"/>
  <c r="N13" i="13" s="1"/>
  <c r="E221" i="8"/>
  <c r="E223" i="8" s="1"/>
  <c r="E33" i="8" s="1"/>
  <c r="AI70" i="7" l="1"/>
  <c r="AH201" i="7"/>
  <c r="AE73" i="8"/>
  <c r="AD140" i="8"/>
  <c r="AD181" i="8"/>
  <c r="AD204" i="8"/>
  <c r="E37" i="8"/>
  <c r="E39" i="8" s="1"/>
  <c r="E34" i="8"/>
  <c r="N12" i="13" s="1"/>
  <c r="AJ70" i="7" l="1"/>
  <c r="AI201" i="7"/>
  <c r="AF73" i="8"/>
  <c r="AE140" i="8"/>
  <c r="AE181" i="8"/>
  <c r="AE204" i="8"/>
  <c r="E60" i="8"/>
  <c r="E52" i="8"/>
  <c r="E47" i="8"/>
  <c r="E59" i="8"/>
  <c r="E61" i="8"/>
  <c r="AK70" i="7" l="1"/>
  <c r="AJ201" i="7"/>
  <c r="AG73" i="8"/>
  <c r="AF181" i="8"/>
  <c r="AF140" i="8"/>
  <c r="AF204" i="8"/>
  <c r="E54" i="8"/>
  <c r="AL70" i="7" l="1"/>
  <c r="AK201" i="7"/>
  <c r="AH73" i="8"/>
  <c r="AG181" i="8"/>
  <c r="AG204" i="8"/>
  <c r="AG140" i="8"/>
  <c r="AM70" i="7" l="1"/>
  <c r="AL201" i="7"/>
  <c r="AI73" i="8"/>
  <c r="AH181" i="8"/>
  <c r="AH204" i="8"/>
  <c r="AH140" i="8"/>
  <c r="AN70" i="7" l="1"/>
  <c r="AM201" i="7"/>
  <c r="AJ73" i="8"/>
  <c r="AI204" i="8"/>
  <c r="AI181" i="8"/>
  <c r="AI140" i="8"/>
  <c r="AO70" i="7" l="1"/>
  <c r="AN201" i="7"/>
  <c r="AK73" i="8"/>
  <c r="AJ140" i="8"/>
  <c r="AJ204" i="8"/>
  <c r="AJ181" i="8"/>
  <c r="AP70" i="7" l="1"/>
  <c r="AP201" i="7" s="1"/>
  <c r="AO201" i="7"/>
  <c r="AL73" i="8"/>
  <c r="AK204" i="8"/>
  <c r="AK140" i="8"/>
  <c r="AK181" i="8"/>
  <c r="AM73" i="8" l="1"/>
  <c r="AL140" i="8"/>
  <c r="AL181" i="8"/>
  <c r="AL204" i="8"/>
  <c r="AN73" i="8" l="1"/>
  <c r="AM140" i="8"/>
  <c r="AM181" i="8"/>
  <c r="AM204" i="8"/>
  <c r="AO73" i="8" l="1"/>
  <c r="AN181" i="8"/>
  <c r="AN140" i="8"/>
  <c r="AN204" i="8"/>
  <c r="AP73" i="8" l="1"/>
  <c r="AO181" i="8"/>
  <c r="AO204" i="8"/>
  <c r="AO140" i="8"/>
  <c r="AP181" i="8" l="1"/>
  <c r="AP204" i="8"/>
  <c r="AP140" i="8"/>
  <c r="S16" i="11"/>
  <c r="T16" i="11" s="1"/>
  <c r="U16" i="11" s="1"/>
  <c r="V16" i="11" s="1"/>
  <c r="W16" i="11" s="1"/>
  <c r="X16" i="11" s="1"/>
  <c r="Y16" i="11" s="1"/>
  <c r="Z16" i="11" s="1"/>
  <c r="AA16" i="11" s="1"/>
  <c r="AB16" i="11" s="1"/>
  <c r="AC16" i="11" s="1"/>
  <c r="AD16" i="11" s="1"/>
  <c r="AE16" i="11" s="1"/>
  <c r="AF16" i="11" s="1"/>
  <c r="AG16" i="11" s="1"/>
  <c r="AH16" i="11" s="1"/>
  <c r="AI16" i="11" s="1"/>
  <c r="AJ16" i="11" s="1"/>
  <c r="AK16" i="11" s="1"/>
  <c r="AL16" i="11" s="1"/>
  <c r="AM16" i="11" s="1"/>
  <c r="AN16" i="11" s="1"/>
  <c r="R16" i="11"/>
  <c r="Q15" i="11"/>
  <c r="R15" i="11" s="1"/>
  <c r="S15" i="11" s="1"/>
  <c r="T15" i="11" s="1"/>
  <c r="U15" i="11" s="1"/>
  <c r="V15" i="11" s="1"/>
  <c r="W15" i="11" s="1"/>
  <c r="X15" i="11" s="1"/>
  <c r="Y15" i="11" s="1"/>
  <c r="Z15" i="11" s="1"/>
  <c r="AA15" i="11" s="1"/>
  <c r="AB15" i="11" s="1"/>
  <c r="AC15" i="11" s="1"/>
  <c r="AD15" i="11" s="1"/>
  <c r="AE15" i="11" s="1"/>
  <c r="AF15" i="11" s="1"/>
  <c r="AG15" i="11" s="1"/>
  <c r="AH15" i="11" s="1"/>
  <c r="AI15" i="11" s="1"/>
  <c r="AJ15" i="11" s="1"/>
  <c r="AK15" i="11" s="1"/>
  <c r="AL15" i="11" s="1"/>
  <c r="AM15" i="11" s="1"/>
  <c r="AN15" i="11" s="1"/>
  <c r="P15" i="11"/>
  <c r="C12" i="11"/>
  <c r="C7" i="11"/>
  <c r="J145" i="1"/>
  <c r="I145" i="1"/>
  <c r="H145" i="1"/>
  <c r="G145" i="1"/>
  <c r="F145" i="1"/>
  <c r="E145" i="1"/>
  <c r="D145" i="1"/>
  <c r="J121" i="1"/>
  <c r="I121" i="1"/>
  <c r="H121" i="1"/>
  <c r="G121" i="1"/>
  <c r="F121" i="1"/>
  <c r="E121" i="1"/>
  <c r="D121" i="1"/>
  <c r="B123" i="1"/>
  <c r="B124" i="1"/>
  <c r="B125" i="1"/>
  <c r="B126" i="1"/>
  <c r="B122" i="1"/>
  <c r="D163" i="1" l="1"/>
  <c r="D186" i="1"/>
  <c r="J142" i="1" l="1"/>
  <c r="I142" i="1"/>
  <c r="H142" i="1"/>
  <c r="G142" i="1"/>
  <c r="F142" i="1"/>
  <c r="E142" i="1"/>
  <c r="D142" i="1"/>
  <c r="H181" i="1" s="1"/>
  <c r="J114" i="1"/>
  <c r="I114" i="1"/>
  <c r="H114" i="1"/>
  <c r="G114" i="1"/>
  <c r="F114" i="1"/>
  <c r="E114" i="1"/>
  <c r="D114" i="1"/>
  <c r="J107" i="1"/>
  <c r="I107" i="1"/>
  <c r="H107" i="1"/>
  <c r="G107" i="1"/>
  <c r="F107" i="1"/>
  <c r="E107" i="1"/>
  <c r="D107" i="1"/>
  <c r="J104" i="1"/>
  <c r="I104" i="1"/>
  <c r="H104" i="1"/>
  <c r="G104" i="1"/>
  <c r="F104" i="1"/>
  <c r="E104" i="1"/>
  <c r="D104" i="1"/>
  <c r="J83" i="1"/>
  <c r="I83" i="1"/>
  <c r="H83" i="1"/>
  <c r="G83" i="1"/>
  <c r="F83" i="1"/>
  <c r="E83" i="1"/>
  <c r="D83" i="1"/>
  <c r="J45" i="1"/>
  <c r="I45" i="1"/>
  <c r="H45" i="1"/>
  <c r="G45" i="1"/>
  <c r="F45" i="1"/>
  <c r="E45" i="1"/>
  <c r="D45" i="1"/>
  <c r="J34" i="1"/>
  <c r="I34" i="1"/>
  <c r="H34" i="1"/>
  <c r="G34" i="1"/>
  <c r="F34" i="1"/>
  <c r="E34" i="1"/>
  <c r="D34" i="1"/>
  <c r="AN194" i="1" l="1"/>
  <c r="AN193" i="1"/>
  <c r="AL193" i="1"/>
  <c r="AG193" i="1"/>
  <c r="AO194" i="1"/>
  <c r="AI194" i="1"/>
  <c r="AC194" i="1"/>
  <c r="AP193" i="1"/>
  <c r="AD193" i="1"/>
  <c r="AP194" i="1"/>
  <c r="AG194" i="1"/>
  <c r="AJ194" i="1"/>
  <c r="AK193" i="1"/>
  <c r="AE194" i="1"/>
  <c r="AB193" i="1"/>
  <c r="AE193" i="1"/>
  <c r="AJ193" i="1"/>
  <c r="AM193" i="1"/>
  <c r="AF194" i="1"/>
  <c r="AM194" i="1"/>
  <c r="AB194" i="1"/>
  <c r="AH194" i="1"/>
  <c r="AL194" i="1"/>
  <c r="AH193" i="1"/>
  <c r="AC193" i="1"/>
  <c r="AO193" i="1"/>
  <c r="AF193" i="1"/>
  <c r="AD194" i="1"/>
  <c r="AI193" i="1"/>
  <c r="AK194" i="1"/>
  <c r="S194" i="1"/>
  <c r="Y193" i="1"/>
  <c r="U193" i="1"/>
  <c r="W194" i="1"/>
  <c r="P193" i="1"/>
  <c r="AA193" i="1"/>
  <c r="O194" i="1"/>
  <c r="R194" i="1"/>
  <c r="M193" i="1"/>
  <c r="L193" i="1"/>
  <c r="AA194" i="1"/>
  <c r="X193" i="1"/>
  <c r="T194" i="1"/>
  <c r="P194" i="1"/>
  <c r="V194" i="1"/>
  <c r="X194" i="1"/>
  <c r="T193" i="1"/>
  <c r="Z193" i="1"/>
  <c r="R193" i="1"/>
  <c r="V193" i="1"/>
  <c r="Z194" i="1"/>
  <c r="L194" i="1"/>
  <c r="Q193" i="1"/>
  <c r="O193" i="1"/>
  <c r="Q194" i="1"/>
  <c r="N193" i="1"/>
  <c r="S193" i="1"/>
  <c r="W193" i="1"/>
  <c r="N194" i="1"/>
  <c r="U194" i="1"/>
  <c r="Y194" i="1"/>
  <c r="M194" i="1"/>
  <c r="H156" i="1"/>
  <c r="C27" i="1"/>
  <c r="AI171" i="1" l="1"/>
  <c r="AG171" i="1"/>
  <c r="AF171" i="1"/>
  <c r="AD171" i="1"/>
  <c r="AN171" i="1"/>
  <c r="AO171" i="1"/>
  <c r="AB171" i="1"/>
  <c r="AN170" i="1"/>
  <c r="AK170" i="1"/>
  <c r="AI170" i="1"/>
  <c r="AE170" i="1"/>
  <c r="AH170" i="1"/>
  <c r="AJ171" i="1"/>
  <c r="AH171" i="1"/>
  <c r="AP171" i="1"/>
  <c r="AL170" i="1"/>
  <c r="AP170" i="1"/>
  <c r="AJ170" i="1"/>
  <c r="AG170" i="1"/>
  <c r="AO170" i="1"/>
  <c r="AD170" i="1"/>
  <c r="AF170" i="1"/>
  <c r="AB170" i="1"/>
  <c r="AM170" i="1"/>
  <c r="AE171" i="1"/>
  <c r="AC171" i="1"/>
  <c r="AL171" i="1"/>
  <c r="AM171" i="1"/>
  <c r="AK171" i="1"/>
  <c r="AC170" i="1"/>
  <c r="L170" i="1"/>
  <c r="Q171" i="1"/>
  <c r="S170" i="1"/>
  <c r="Y170" i="1"/>
  <c r="X170" i="1"/>
  <c r="M171" i="1"/>
  <c r="W170" i="1"/>
  <c r="AA171" i="1"/>
  <c r="AA170" i="1"/>
  <c r="S171" i="1"/>
  <c r="P171" i="1"/>
  <c r="M170" i="1"/>
  <c r="L171" i="1"/>
  <c r="P170" i="1"/>
  <c r="Z170" i="1"/>
  <c r="W171" i="1"/>
  <c r="R170" i="1"/>
  <c r="Z171" i="1"/>
  <c r="N170" i="1"/>
  <c r="V171" i="1"/>
  <c r="X171" i="1"/>
  <c r="T171" i="1"/>
  <c r="R171" i="1"/>
  <c r="N171" i="1"/>
  <c r="O171" i="1"/>
  <c r="V170" i="1"/>
  <c r="T170" i="1"/>
  <c r="U171" i="1"/>
  <c r="U170" i="1"/>
  <c r="Y171" i="1"/>
  <c r="Q170" i="1"/>
  <c r="O170" i="1"/>
  <c r="D47" i="1" l="1"/>
  <c r="J47" i="1"/>
  <c r="H47" i="1"/>
  <c r="F47" i="1"/>
  <c r="G47" i="1"/>
  <c r="E47" i="1"/>
  <c r="I47" i="1"/>
  <c r="AP195" i="1"/>
  <c r="L195" i="1"/>
  <c r="L172" i="1"/>
  <c r="AJ195" i="1"/>
  <c r="R195" i="1"/>
  <c r="AK195" i="1"/>
  <c r="AB195" i="1"/>
  <c r="AG195" i="1"/>
  <c r="S195" i="1"/>
  <c r="AI195" i="1"/>
  <c r="W195" i="1"/>
  <c r="U195" i="1"/>
  <c r="P195" i="1"/>
  <c r="AD195" i="1"/>
  <c r="AM195" i="1"/>
  <c r="AN195" i="1"/>
  <c r="AH195" i="1"/>
  <c r="N195" i="1"/>
  <c r="Z195" i="1"/>
  <c r="AE195" i="1"/>
  <c r="AO195" i="1"/>
  <c r="M195" i="1"/>
  <c r="X195" i="1"/>
  <c r="O195" i="1"/>
  <c r="AL195" i="1"/>
  <c r="Q195" i="1"/>
  <c r="AF195" i="1"/>
  <c r="AC195" i="1"/>
  <c r="V195" i="1"/>
  <c r="AA195" i="1"/>
  <c r="Y195" i="1"/>
  <c r="T195" i="1"/>
  <c r="AC172" i="1"/>
  <c r="AF172" i="1"/>
  <c r="O172" i="1"/>
  <c r="AP172" i="1"/>
  <c r="AK172" i="1"/>
  <c r="AA172" i="1"/>
  <c r="Y172" i="1"/>
  <c r="M172" i="1"/>
  <c r="AB172" i="1"/>
  <c r="Q172" i="1"/>
  <c r="AO172" i="1"/>
  <c r="AI172" i="1"/>
  <c r="P172" i="1"/>
  <c r="S172" i="1"/>
  <c r="AL172" i="1"/>
  <c r="U172" i="1"/>
  <c r="W172" i="1"/>
  <c r="N172" i="1"/>
  <c r="AJ172" i="1"/>
  <c r="AH172" i="1"/>
  <c r="V172" i="1"/>
  <c r="AD172" i="1"/>
  <c r="AM172" i="1"/>
  <c r="AN172" i="1"/>
  <c r="AG172" i="1"/>
  <c r="AE172" i="1"/>
  <c r="X172" i="1"/>
  <c r="T172" i="1"/>
  <c r="R172" i="1"/>
  <c r="Z172" i="1"/>
  <c r="D198" i="1" l="1"/>
  <c r="D175" i="1"/>
  <c r="D46" i="1"/>
  <c r="D136" i="1"/>
  <c r="D207" i="1" s="1"/>
  <c r="E46" i="1"/>
  <c r="E136" i="1"/>
  <c r="E207" i="1" s="1"/>
  <c r="F46" i="1"/>
  <c r="F136" i="1"/>
  <c r="F207" i="1" s="1"/>
  <c r="I46" i="1"/>
  <c r="I136" i="1"/>
  <c r="I207" i="1" s="1"/>
  <c r="J136" i="1"/>
  <c r="J207" i="1" s="1"/>
  <c r="J46" i="1"/>
  <c r="H136" i="1"/>
  <c r="H207" i="1" s="1"/>
  <c r="H46" i="1"/>
  <c r="G46" i="1"/>
  <c r="G136" i="1"/>
  <c r="G207" i="1" s="1"/>
  <c r="J48" i="1" l="1"/>
  <c r="J36" i="1" s="1"/>
  <c r="I48" i="1"/>
  <c r="I36" i="1" s="1"/>
  <c r="H48" i="1"/>
  <c r="H36" i="1" s="1"/>
  <c r="G48" i="1"/>
  <c r="G36" i="1" s="1"/>
  <c r="F48" i="1"/>
  <c r="F36" i="1" s="1"/>
  <c r="E48" i="1"/>
  <c r="E36" i="1" s="1"/>
  <c r="D48" i="1"/>
  <c r="D36" i="1" s="1"/>
  <c r="D14" i="13" l="1"/>
  <c r="N15" i="13"/>
  <c r="I15" i="13"/>
  <c r="I16" i="13" s="1"/>
  <c r="G42" i="1"/>
  <c r="G57" i="1"/>
  <c r="H42" i="1"/>
  <c r="H57" i="1"/>
  <c r="E42" i="1"/>
  <c r="E57" i="1"/>
  <c r="I42" i="1"/>
  <c r="I57" i="1"/>
  <c r="D42" i="1"/>
  <c r="D57" i="1"/>
  <c r="F42" i="1"/>
  <c r="F57" i="1"/>
  <c r="J42" i="1"/>
  <c r="J57" i="1"/>
  <c r="D108" i="1"/>
  <c r="D122" i="1" s="1"/>
  <c r="G108" i="1"/>
  <c r="G122" i="1" s="1"/>
  <c r="H108" i="1"/>
  <c r="H122" i="1" s="1"/>
  <c r="I108" i="1"/>
  <c r="I122" i="1" s="1"/>
  <c r="J108" i="1"/>
  <c r="J122" i="1" s="1"/>
  <c r="G109" i="1"/>
  <c r="G123" i="1" s="1"/>
  <c r="H109" i="1"/>
  <c r="H123" i="1" s="1"/>
  <c r="I109" i="1"/>
  <c r="I123" i="1" s="1"/>
  <c r="J109" i="1"/>
  <c r="J123" i="1" s="1"/>
  <c r="G110" i="1"/>
  <c r="G124" i="1" s="1"/>
  <c r="H110" i="1"/>
  <c r="H124" i="1" s="1"/>
  <c r="I110" i="1"/>
  <c r="I124" i="1" s="1"/>
  <c r="J110" i="1"/>
  <c r="J124" i="1" s="1"/>
  <c r="G111" i="1"/>
  <c r="G125" i="1" s="1"/>
  <c r="H111" i="1"/>
  <c r="H125" i="1" s="1"/>
  <c r="I111" i="1"/>
  <c r="I125" i="1" s="1"/>
  <c r="J111" i="1"/>
  <c r="J125" i="1" s="1"/>
  <c r="G112" i="1"/>
  <c r="G126" i="1" s="1"/>
  <c r="H112" i="1"/>
  <c r="H126" i="1" s="1"/>
  <c r="I112" i="1"/>
  <c r="I126" i="1" s="1"/>
  <c r="J112" i="1"/>
  <c r="J126" i="1" s="1"/>
  <c r="J127" i="1" l="1"/>
  <c r="I127" i="1"/>
  <c r="H127" i="1"/>
  <c r="G127" i="1"/>
  <c r="E108" i="1"/>
  <c r="E122" i="1" s="1"/>
  <c r="F108" i="1"/>
  <c r="F122" i="1" s="1"/>
  <c r="E109" i="1"/>
  <c r="E123" i="1" s="1"/>
  <c r="F109" i="1"/>
  <c r="F123" i="1" s="1"/>
  <c r="E110" i="1"/>
  <c r="E124" i="1" s="1"/>
  <c r="F110" i="1"/>
  <c r="F124" i="1" s="1"/>
  <c r="E111" i="1"/>
  <c r="E125" i="1" s="1"/>
  <c r="F111" i="1"/>
  <c r="F125" i="1" s="1"/>
  <c r="E112" i="1"/>
  <c r="E126" i="1" s="1"/>
  <c r="F112" i="1"/>
  <c r="F126" i="1" s="1"/>
  <c r="D109" i="1"/>
  <c r="D123" i="1" s="1"/>
  <c r="D110" i="1"/>
  <c r="D124" i="1" s="1"/>
  <c r="D111" i="1"/>
  <c r="D125" i="1" s="1"/>
  <c r="D112" i="1"/>
  <c r="D126" i="1" s="1"/>
  <c r="G95" i="1" l="1"/>
  <c r="G99" i="1" s="1"/>
  <c r="H95" i="1"/>
  <c r="H99" i="1" s="1"/>
  <c r="I95" i="1"/>
  <c r="I99" i="1" s="1"/>
  <c r="J95" i="1"/>
  <c r="J99" i="1" s="1"/>
  <c r="D127" i="1"/>
  <c r="F127" i="1"/>
  <c r="E127" i="1"/>
  <c r="J206" i="1" l="1"/>
  <c r="J208" i="1" s="1"/>
  <c r="J37" i="1" s="1"/>
  <c r="J35" i="1"/>
  <c r="J41" i="1" s="1"/>
  <c r="J43" i="1" s="1"/>
  <c r="I35" i="1"/>
  <c r="I41" i="1" s="1"/>
  <c r="I43" i="1" s="1"/>
  <c r="I206" i="1"/>
  <c r="I208" i="1" s="1"/>
  <c r="I37" i="1" s="1"/>
  <c r="H35" i="1"/>
  <c r="H41" i="1" s="1"/>
  <c r="H43" i="1" s="1"/>
  <c r="H206" i="1"/>
  <c r="H208" i="1" s="1"/>
  <c r="H37" i="1" s="1"/>
  <c r="G35" i="1"/>
  <c r="G41" i="1" s="1"/>
  <c r="G43" i="1" s="1"/>
  <c r="G206" i="1"/>
  <c r="G208" i="1" s="1"/>
  <c r="G37" i="1" s="1"/>
  <c r="E95" i="1"/>
  <c r="E99" i="1" s="1"/>
  <c r="F95" i="1"/>
  <c r="F99" i="1" s="1"/>
  <c r="D95" i="1"/>
  <c r="D99" i="1" s="1"/>
  <c r="I38" i="1" l="1"/>
  <c r="I56" i="1" s="1"/>
  <c r="I58" i="1" s="1"/>
  <c r="G38" i="1"/>
  <c r="G64" i="1" s="1"/>
  <c r="J38" i="1"/>
  <c r="J51" i="1" s="1"/>
  <c r="H38" i="1"/>
  <c r="H56" i="1" s="1"/>
  <c r="H58" i="1" s="1"/>
  <c r="D206" i="1"/>
  <c r="D35" i="1"/>
  <c r="D13" i="13" s="1"/>
  <c r="D15" i="13" s="1"/>
  <c r="E35" i="1"/>
  <c r="E41" i="1" s="1"/>
  <c r="E43" i="1" s="1"/>
  <c r="E206" i="1"/>
  <c r="E208" i="1" s="1"/>
  <c r="E37" i="1" s="1"/>
  <c r="F206" i="1"/>
  <c r="F208" i="1" s="1"/>
  <c r="F37" i="1" s="1"/>
  <c r="F35" i="1"/>
  <c r="F41" i="1" s="1"/>
  <c r="F43" i="1" s="1"/>
  <c r="J65" i="1"/>
  <c r="D41" i="1" l="1"/>
  <c r="D43" i="1" s="1"/>
  <c r="I65" i="1"/>
  <c r="I63" i="1"/>
  <c r="I51" i="1"/>
  <c r="G56" i="1"/>
  <c r="G58" i="1" s="1"/>
  <c r="G65" i="1"/>
  <c r="I64" i="1"/>
  <c r="G51" i="1"/>
  <c r="J56" i="1"/>
  <c r="J58" i="1" s="1"/>
  <c r="H63" i="1"/>
  <c r="H64" i="1"/>
  <c r="H51" i="1"/>
  <c r="J64" i="1"/>
  <c r="J63" i="1"/>
  <c r="G63" i="1"/>
  <c r="F38" i="1"/>
  <c r="H65" i="1"/>
  <c r="E38" i="1"/>
  <c r="E51" i="1" s="1"/>
  <c r="F56" i="1" l="1"/>
  <c r="F58" i="1" s="1"/>
  <c r="F65" i="1"/>
  <c r="F51" i="1"/>
  <c r="F64" i="1"/>
  <c r="F63" i="1"/>
  <c r="E56" i="1"/>
  <c r="E58" i="1" s="1"/>
  <c r="E65" i="1"/>
  <c r="E63" i="1"/>
  <c r="E64" i="1"/>
  <c r="D208" i="1"/>
  <c r="D37" i="1" s="1"/>
  <c r="D38" i="1" l="1"/>
  <c r="D56" i="1" l="1"/>
  <c r="D58" i="1" s="1"/>
  <c r="D12" i="13"/>
  <c r="D65" i="1"/>
  <c r="D51" i="1"/>
  <c r="D63" i="1"/>
  <c r="D64" i="1"/>
  <c r="I20" i="13" l="1"/>
  <c r="I19" i="13"/>
  <c r="I18" i="13"/>
  <c r="N16" i="13"/>
  <c r="N20" i="13" s="1"/>
  <c r="N19" i="13"/>
  <c r="N18" i="13"/>
  <c r="D19" i="13"/>
  <c r="D18" i="13"/>
  <c r="D16" i="13"/>
  <c r="D20" i="13" s="1"/>
  <c r="L206" i="7" l="1"/>
  <c r="D209" i="7"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<sst xmlns="http://schemas.openxmlformats.org/spreadsheetml/2006/main" count="2206" uniqueCount="520">
  <si>
    <t>Reconciliation for small connection variants (Scenario 1)</t>
  </si>
  <si>
    <t>key</t>
  </si>
  <si>
    <t>input</t>
  </si>
  <si>
    <t>linked</t>
  </si>
  <si>
    <t>calculated</t>
  </si>
  <si>
    <t>selection</t>
  </si>
  <si>
    <t>Explanatory notes</t>
  </si>
  <si>
    <t>Purpose</t>
  </si>
  <si>
    <t>Other comments</t>
  </si>
  <si>
    <t>Numbers in this spreadsheet are indicative only. Full descriptions of the variants are in the Electricity Authority's 'Worked Examples' report and are summarised in the 'Summary of worked examples' tab.</t>
  </si>
  <si>
    <t>Layout of sheet</t>
  </si>
  <si>
    <t xml:space="preserve"> </t>
  </si>
  <si>
    <t>1. Variants</t>
  </si>
  <si>
    <t>Variants shown in this sheet:</t>
  </si>
  <si>
    <t>1a</t>
  </si>
  <si>
    <t>Small urban residential connection with posted charge</t>
  </si>
  <si>
    <t>1b</t>
  </si>
  <si>
    <t>Small urban residential connection with two-phase connection</t>
  </si>
  <si>
    <t>1c</t>
  </si>
  <si>
    <t>Small urban residential connection with two-phase connection and upstream cost allocation</t>
  </si>
  <si>
    <t>1d</t>
  </si>
  <si>
    <t>Upgrade of existing small urban residential connection to two-phase connection (with upstream cost allocation)</t>
  </si>
  <si>
    <t>1e</t>
  </si>
  <si>
    <t>Small rural non-residential connection with upstream cost allocation</t>
  </si>
  <si>
    <t>1f</t>
  </si>
  <si>
    <t>Small rural non-residential connection in location with active pioneer scheme</t>
  </si>
  <si>
    <t>1g</t>
  </si>
  <si>
    <t>Small rural non-residential connection in location with local cost recovery scheme</t>
  </si>
  <si>
    <t>Variant for time-based inputs</t>
  </si>
  <si>
    <t>2. Reconciliation summary</t>
  </si>
  <si>
    <t>All $ inputs are real 2025</t>
  </si>
  <si>
    <t>Connection Charge (CC) = (Incremental Cost (IC) - Incremental Revenue (IR)) + Network Contribution (NC)</t>
  </si>
  <si>
    <t>Description</t>
  </si>
  <si>
    <t>Notes/assumptions</t>
  </si>
  <si>
    <t>Incremental Cost (IC)</t>
  </si>
  <si>
    <t>$</t>
  </si>
  <si>
    <t>Incremental cost of adding the connection.</t>
  </si>
  <si>
    <t>See Section 4 below for calculation.</t>
  </si>
  <si>
    <t>less</t>
  </si>
  <si>
    <t>Incremental Revenue (IR) - total</t>
  </si>
  <si>
    <t>Value of future lines charges (distribution and transmission) from connection.</t>
  </si>
  <si>
    <t>See Section 5 below for calculation.</t>
  </si>
  <si>
    <t>plus</t>
  </si>
  <si>
    <t>Network Contribution (NC)</t>
  </si>
  <si>
    <t>The connection customer's contribution to network costs that are unaltered by their connection.</t>
  </si>
  <si>
    <t>Effectively a balancing factor. See Section 6 below for calculation.</t>
  </si>
  <si>
    <t>=</t>
  </si>
  <si>
    <t>Connection charge (CC)</t>
  </si>
  <si>
    <t>Up-front charge for connection (excluding fees and pioneer scheme).</t>
  </si>
  <si>
    <t>where</t>
  </si>
  <si>
    <t>Net incremental cost (NIC)</t>
  </si>
  <si>
    <t>Incremental cost of adding the connection less value of future lines charges.</t>
  </si>
  <si>
    <t>Incremental Distribution Revenue (IDR)</t>
  </si>
  <si>
    <t>Value of future distribution lines charges from connection.</t>
  </si>
  <si>
    <t>Incremental TransmissionRevenue (ITR)</t>
  </si>
  <si>
    <t>Value of future transmission lines charges from connection.</t>
  </si>
  <si>
    <t>Total value of future lines charges from connection.</t>
  </si>
  <si>
    <t>Reconciliation check</t>
  </si>
  <si>
    <t>Checks that connection charge (CC) in row 31 equals connection charge below in row 70. If the check fails then there is an error in one of the reconciliation formula.</t>
  </si>
  <si>
    <t>Lifetime contribution</t>
  </si>
  <si>
    <t>Lifetime contribution components</t>
  </si>
  <si>
    <t>Unit</t>
  </si>
  <si>
    <t>Incremental revenue (IR)</t>
  </si>
  <si>
    <t>Value of future line charges (distribution and transmission) from connection.</t>
  </si>
  <si>
    <t>Total contribution from connection.</t>
  </si>
  <si>
    <t>Includes both upfront charges (CC) and ongoing charges (IR).</t>
  </si>
  <si>
    <t>Useful ratios</t>
  </si>
  <si>
    <t>Ratios</t>
  </si>
  <si>
    <t>Reliance</t>
  </si>
  <si>
    <t>%</t>
  </si>
  <si>
    <t>Portion of IC contributed upfront. Equals CC/IC.</t>
  </si>
  <si>
    <t>Up-front revenue ratio</t>
  </si>
  <si>
    <t>Portion of revenue contributed upfront. Equals CC/(CC+IR).</t>
  </si>
  <si>
    <t>Network contribution ratio</t>
  </si>
  <si>
    <t>Portion of revenue contributing to network costs. Equals NC/(CC+IR).</t>
  </si>
  <si>
    <t>Inputs for connection charge (CC) component</t>
  </si>
  <si>
    <t>Type</t>
  </si>
  <si>
    <t>Total upfront connection charge to connection customer. Excludes fees and pioneer scheme charges.</t>
  </si>
  <si>
    <t>Figures copied from 'Worked Examples' spreadsheet.</t>
  </si>
  <si>
    <t>Source</t>
  </si>
  <si>
    <t>Assumption</t>
  </si>
  <si>
    <t>Extension cost (EC)</t>
  </si>
  <si>
    <t>Cost to extend the network to new connection (relevant minimum scheme).</t>
  </si>
  <si>
    <t>Additional cost of customer-selected enhancements.</t>
  </si>
  <si>
    <t>Localised historical cost recovery (LHCR)</t>
  </si>
  <si>
    <t>Allocation of historical distributor-selected enhancement costs.</t>
  </si>
  <si>
    <t>Incremental transmission cost (ITC)</t>
  </si>
  <si>
    <t>Allocation of ITC (large connections only).</t>
  </si>
  <si>
    <t>Network costing zone</t>
  </si>
  <si>
    <t>zone</t>
  </si>
  <si>
    <t>Urban</t>
  </si>
  <si>
    <t>Rural A</t>
  </si>
  <si>
    <t>Costing zone for capacity costs</t>
  </si>
  <si>
    <t>Unit capacity cost</t>
  </si>
  <si>
    <t>Low voltage mains (LV)</t>
  </si>
  <si>
    <t>$/kVA</t>
  </si>
  <si>
    <t>Unit cost for incremental LV capacity.</t>
  </si>
  <si>
    <t>Distribution substation (DS)</t>
  </si>
  <si>
    <t>Unit cost for incremental DS capacity.</t>
  </si>
  <si>
    <t>High voltage feeder (HVF)</t>
  </si>
  <si>
    <t>Unit cost for incremental HVF capacity.</t>
  </si>
  <si>
    <t>Zone substation (ZS)</t>
  </si>
  <si>
    <t>Unit cost for incremental ZS capacity.</t>
  </si>
  <si>
    <t>Sub-transmission line (STL)</t>
  </si>
  <si>
    <t>Unit cost for incremental STL capacity.</t>
  </si>
  <si>
    <t>Capacity demand</t>
  </si>
  <si>
    <t>kVA</t>
  </si>
  <si>
    <t>Demand for incremental LV capacity.</t>
  </si>
  <si>
    <t>Demand for incremental DS capacity.</t>
  </si>
  <si>
    <t>Demand for incremental HVF capacity.</t>
  </si>
  <si>
    <t>Demand for incremental ZS capacity.</t>
  </si>
  <si>
    <t>Demand for incremental STL capacity.</t>
  </si>
  <si>
    <t>Unit capacity cost multiplied by capacity demand for LV tier.</t>
  </si>
  <si>
    <t>Unit capacity cost multiplied by capacity demand for DS tier.</t>
  </si>
  <si>
    <t>Unit capacity cost multiplied by capacity demand for HVF tier.</t>
  </si>
  <si>
    <t>Unit capacity cost multiplied by capacity demand for ZS tier.</t>
  </si>
  <si>
    <t>Unit capacity cost multiplied by capacity demand for STL tier.</t>
  </si>
  <si>
    <t>Network capacity cost (NCC)</t>
  </si>
  <si>
    <t>Consumer group and initial year revenue</t>
  </si>
  <si>
    <t>Consumer group/customer</t>
  </si>
  <si>
    <t>group</t>
  </si>
  <si>
    <t>Residential</t>
  </si>
  <si>
    <t>Residential upgrade</t>
  </si>
  <si>
    <t>Non-residential</t>
  </si>
  <si>
    <t>Initial year revenue</t>
  </si>
  <si>
    <t>Initial year distribution revenue</t>
  </si>
  <si>
    <t>Revenue from distribution tariffs in initial year (if connection was livened at start of the pricing year). Excludes pass-through of transmission charges. This is the initial year revenue before it is scaled by the incremental opex scaling factor.</t>
  </si>
  <si>
    <t>Initial year transmission revenue</t>
  </si>
  <si>
    <t>Revenue from transmisson tariffs (the portion of lines revenue that relates to pass-through of transmisson charges) in initial year (if connection was livened at start of the pricing year).</t>
  </si>
  <si>
    <t>Revenue life</t>
  </si>
  <si>
    <t>years</t>
  </si>
  <si>
    <t>The period for which the connection is expected to generate revenue. The default revenue life for residential connections is 30 years. The default for non-residential connections is 15 years.</t>
  </si>
  <si>
    <t>Discount rate and opex scaling factor</t>
  </si>
  <si>
    <t>All variants</t>
  </si>
  <si>
    <t>Discount rate (real)</t>
  </si>
  <si>
    <t>Needs to updated annually. Is not distributor-specific.</t>
  </si>
  <si>
    <t>Incremental opex scaling factor</t>
  </si>
  <si>
    <t>Used in the incremental distribution revenue (IDR) estimation to recognise that some of the ongoing revenue collected through lines charges will go toward covering incremental operating costs for the new connection.</t>
  </si>
  <si>
    <t>Needs to be updated annually. Is distributor-specific. Only applies to incremental distribution revenue (IDR) not incremental transmission revenue (ITR).</t>
  </si>
  <si>
    <t>Year</t>
  </si>
  <si>
    <t>Pricing year</t>
  </si>
  <si>
    <t>year</t>
  </si>
  <si>
    <t>Year ending 31 March.</t>
  </si>
  <si>
    <t>Discount factor</t>
  </si>
  <si>
    <t>#</t>
  </si>
  <si>
    <t>Discount factor (using discount rate above) to adjust revenue to present value.</t>
  </si>
  <si>
    <t>Discount factor is the same for all variants and for both distribution and transmission revenue.</t>
  </si>
  <si>
    <t>Distribution revenue adjustment factor (real)</t>
  </si>
  <si>
    <t xml:space="preserve">Adjustment for forecast changes in tariff structures. </t>
  </si>
  <si>
    <t>Distribution revenue ramp-up factor</t>
  </si>
  <si>
    <t>Transmission revenue adjustment factor (real)</t>
  </si>
  <si>
    <t xml:space="preserve">Real revenue adjustment to adjust initial-year transmission revenue figure for overall movements in target transmission revenue. </t>
  </si>
  <si>
    <t>Transmission revenue ramp-up factor</t>
  </si>
  <si>
    <t>Timing of revenue reaching  full potential</t>
  </si>
  <si>
    <t xml:space="preserve">Sums the NPV of distribution revenue for the connection for all years in the revenue life. </t>
  </si>
  <si>
    <t>NPV of a specific year's distribution revenue is equal to the initial year distribution revenue multiplied by each of the incremental opex scaling factor, the discount factor, the distribution revenue adjustment factor (real), the tariff adjustment factor, and the revenue ramp-up factor. The calculation is shown below for a selected variant.</t>
  </si>
  <si>
    <t>Incremental Transmission Revenue (ITR)</t>
  </si>
  <si>
    <t xml:space="preserve">Sums the NPV of transmission revenue for the connection for all years in the revenue life. </t>
  </si>
  <si>
    <t>NPV of a specific year's transmission revenue is equal to the initial year transmission revenue multiplied by each of the discount factor, the transmission revenue adjustment factor (real), the tariff adjustment factor, and the revenue ramp-up factor. The calculation is shown below for a selected variant.</t>
  </si>
  <si>
    <t>Incremental Revenue (IR)</t>
  </si>
  <si>
    <t>Variant for supporting calculation</t>
  </si>
  <si>
    <t>Revenue from distribution tariffs in initial year (if connection was livened at start of the pricing year). Excludes pass-through of transmission charges.</t>
  </si>
  <si>
    <t>a</t>
  </si>
  <si>
    <t>Scaled initial year distribution revenue</t>
  </si>
  <si>
    <t>Initial year distribution revenue scaled by the incremental opex scaling factor.</t>
  </si>
  <si>
    <t>Annual distribution revenue</t>
  </si>
  <si>
    <t>b</t>
  </si>
  <si>
    <t>Discount factor to adjust revenue to present value.</t>
  </si>
  <si>
    <t>c</t>
  </si>
  <si>
    <t xml:space="preserve">Real revenue adjustment to adjust initial-year distribution revenue figure for overall movements in target distribution revenue. </t>
  </si>
  <si>
    <t>d</t>
  </si>
  <si>
    <t>e</t>
  </si>
  <si>
    <t>= a*b*c*d*e</t>
  </si>
  <si>
    <t>Adjusted distribution revenue</t>
  </si>
  <si>
    <t xml:space="preserve">Incremental distribution revenue </t>
  </si>
  <si>
    <t>Incremental distribution revenue (IDR)</t>
  </si>
  <si>
    <t>Annual transmission revenue</t>
  </si>
  <si>
    <t>Adjusted transmission revenue</t>
  </si>
  <si>
    <t xml:space="preserve">Incremental transmission revenue </t>
  </si>
  <si>
    <t>Incremental transmission revenue (ITR)</t>
  </si>
  <si>
    <t>Network Contribution (NC) calculation</t>
  </si>
  <si>
    <t>Reconciliation for remote mid-sized connection variants (Scenario 2)</t>
  </si>
  <si>
    <t>This spreadsheet provides a reconciliation of a connection charge into incremental cost, incremental revenue, and network contribution for the remote mid-sized connection (Scenario 2) variants in the Electricity Authority's distribution connection pricing worked examples.</t>
  </si>
  <si>
    <t>- This sheet is split into seven sections, which are numbered 1-7 below. 
- Section 1 lists the variants in Scenario 2, section 2 provides a summary of the reconciliation, section 3 sets out year and discount factor assumptions, and sections 4-7 include the inputs and calculations for each of the components in the reconciliation (connection charge, incremental cost, incremental revenue, and network contribution). 
- User should select the variant they're interested in (in the cell 'Sc2_variant' in section 1) to view time-based inputs for that variant.
- The sheet relies on inputs from the ''Distributor assumptions', 'Con group &amp; variant assumptions', and 'Network costing zones' tabs, as well as the accompanying 'Worked Examples' spreadsheet.</t>
  </si>
  <si>
    <t>2a</t>
  </si>
  <si>
    <t>Remote mid-sized connection with extension-like upgrade</t>
  </si>
  <si>
    <t>2b</t>
  </si>
  <si>
    <t xml:space="preserve">Remote mid-sized flexi connection </t>
  </si>
  <si>
    <t>Variant 2b</t>
  </si>
  <si>
    <t>Select the variant you're interested in here - this will disply the time-based inputs for incremental cost (section 5) and incremental revenue (section 6) below. (Non time-based inputs are shown for all Scenario 3 variants).</t>
  </si>
  <si>
    <t>3. Year and discount rate assumptions</t>
  </si>
  <si>
    <t>Used to make compounding downward adjustments to revenue from future years. Is equal to the most recently available mid-point estimate of vanilla WACC (weighted average cost of capital) made by the Commerce Commission less an adjustment to remove inflation (using inflation projections for the year ahead from the Reserve Bank of New Zealand's most recent Monetary Policy Statement).</t>
  </si>
  <si>
    <t>Needs to updated annually. Is not distributor-specific. We have also used this discount rate to estimate the opearting cost loading for Scenario 3 variants (used in the incremental cost calculation).</t>
  </si>
  <si>
    <t>Year starting 1 April.</t>
  </si>
  <si>
    <t>Discount factor is the same for all variants and is used for both distribution and transmission revenue calculations.</t>
  </si>
  <si>
    <t>4. Connection charge (CC) component</t>
  </si>
  <si>
    <t>5. Incremental cost (IC) component</t>
  </si>
  <si>
    <t>Incremental cost (IC) calculation</t>
  </si>
  <si>
    <t>Customer-selected enhancement cost (CSEC)</t>
  </si>
  <si>
    <t>Capacity cost</t>
  </si>
  <si>
    <t>Operating cost loading (OCL)</t>
  </si>
  <si>
    <t>Incremental costs associatied with generation</t>
  </si>
  <si>
    <t>Avoided cost of distribution (ACOD)</t>
  </si>
  <si>
    <t>Supporting calculations</t>
  </si>
  <si>
    <t>Supporting capacity cost calculation</t>
  </si>
  <si>
    <t>Rural B</t>
  </si>
  <si>
    <t>Posted capacity rates</t>
  </si>
  <si>
    <t>Can estimated capacity upgrade costs be used</t>
  </si>
  <si>
    <t>Is the demand increment from the project more than 80% of the nominal capacity increment for:</t>
  </si>
  <si>
    <t>the high voltage feeder (HVF) tier?</t>
  </si>
  <si>
    <t>No</t>
  </si>
  <si>
    <t>If yes, can use estimated capacity upgrade costs for the HVF tier instead of the posted capacity rate.</t>
  </si>
  <si>
    <t>the zone substation (ZS) tier?</t>
  </si>
  <si>
    <t>the sub-transmission line (STL) tier?</t>
  </si>
  <si>
    <t>If yes, what is the estimated capacity upgrade costs?</t>
  </si>
  <si>
    <t>Can modified capacity rates be used</t>
  </si>
  <si>
    <t>Is the cost per unit of the upgrade project estimated to be more than 150%, or lower than 80%, of the applicable posted capacity rate for:</t>
  </si>
  <si>
    <t>Yes</t>
  </si>
  <si>
    <t>N/A if estimated capacity upgrade costs can be used (see above) or if there is no capacity demand at that tier. If yes, can use estimated capacity rate rather than posted capacity rate.</t>
  </si>
  <si>
    <t>If yes, what is the estimated cost per unit relative to the posted rate for:</t>
  </si>
  <si>
    <t>Needs to be greater than 150% (if cost per unit is higher than average) or less than 80% (if cost per unit is lower than average). Cell will be dark grey if not applicable (when the cost per unit of the upgrade project is between 80% and 150% of the applicable posted capacity rate OR if estimated capacity upgrade costs can be used).</t>
  </si>
  <si>
    <t>Capacity cost calculation</t>
  </si>
  <si>
    <t>6. Incremental revenue (IR) component</t>
  </si>
  <si>
    <t>Incremental revenue (IR) calculation</t>
  </si>
  <si>
    <t>Consumer group, initial year revenue, and opex scaling factor</t>
  </si>
  <si>
    <t>Variant 2a customer</t>
  </si>
  <si>
    <t>Variant 2b customer</t>
  </si>
  <si>
    <t>Opex scaling factor</t>
  </si>
  <si>
    <t>Incremental distribution revenue (IDR) calculation</t>
  </si>
  <si>
    <t>Some time-based inputs vary by variant. The inputs for a particular variant are shown in the tables below by selecting the variant of interest in the cell 'Sc3_variant'.</t>
  </si>
  <si>
    <t>[Change variant in cell 'Sc2_variant' cell if required]</t>
  </si>
  <si>
    <t>Incremental transmission revenue (ITR) calculation</t>
  </si>
  <si>
    <t>7. Network contribution (NC) component</t>
  </si>
  <si>
    <t>Reconciliation for large connection variants (Scenario 3)</t>
  </si>
  <si>
    <t>This spreadsheet provides a reconciliation of a connection charge into incremental cost, incremental revenue, and network contribution for the large load (Scenario 3) variants in the Electricity Authority's distribution connection pricing worked examples.</t>
  </si>
  <si>
    <t>- This sheet is split into seven sections, which are numbered 1-7 below. 
- Section 1 lists the variants in Scenario 3, section 2 provides a summary of the reconciliation, section 3 sets out year and discount factor assumptions, and sections 4-7 include the inputs and calculations for each of the components in the reconciliation (connection charge, incremental cost, incremental revenue, and network contribution). 
- User should select the variant they're interested in (in the cell 'Sc3_variant' in section 1) to view time-based inputs for that variant.
- The sheet relies on inputs from the '3b. ITC calcs', 'Distributor assumptions', 'Con group &amp; variant assumptions', and 'Network costing zones' tabs, as well as the accompanying 'Worked Examples' spreadsheet.</t>
  </si>
  <si>
    <t>3a</t>
  </si>
  <si>
    <t>Large connection at zone substation level with special pricing</t>
  </si>
  <si>
    <t>3b</t>
  </si>
  <si>
    <t>Large connection at zone substation level with special pricing that involves GXP work (includes incremental transmission costs)</t>
  </si>
  <si>
    <t>3c</t>
  </si>
  <si>
    <t>Large connection at zone substation level with small injection (&lt; 1 MVA)</t>
  </si>
  <si>
    <t>3d</t>
  </si>
  <si>
    <t>Large connection at zone substation level with mid-sized injection (~ 1.5 MVA)</t>
  </si>
  <si>
    <t>Variant 3b</t>
  </si>
  <si>
    <t>See Section 6 below for calculation.</t>
  </si>
  <si>
    <t>See Section 7 below for calculation.</t>
  </si>
  <si>
    <t>Checks that connection charge (CC) calculated above (row 38) equals connection charge calculated below (row 85). If the check fails then there is an error in one of the reconciliation formula.</t>
  </si>
  <si>
    <t>Initial part-year adjustment</t>
  </si>
  <si>
    <t>The portion of the initial year that the customer is connected. Feeds into operating cost loading.</t>
  </si>
  <si>
    <t>In the Scenario 3 variants, it is assumed that the customer connects at the beginning of January, so the initial part-year adjustment is 0.25 (the customer will be connected for the last three months (25%) of the pricing year). For Scenario 3 variants, the initial part-year adjustment is equal to ramp-up rate for year 0, but this may not always be the case (eg, if the ramp-up factor for year 0 is affected by changes in load factor).</t>
  </si>
  <si>
    <t>Revenue life and discount factor</t>
  </si>
  <si>
    <t>We have assumed the default connection revenue life for non-residential connections (15 years) for all Scenario 3 variants. Note that the partial initial year is not included in revenue life (so the variants effectively have revenue lives of 15.25 years).</t>
  </si>
  <si>
    <t>Network capacity costs associated with customer-selected enhancements are included in this term (not as part of the capacity cost input). Figures copied from 'Worked Examples' spreadsheet.</t>
  </si>
  <si>
    <t>Figures copied from 'Worked Examples' spreadsheet. Not relevant for any of the Scenario 3 variants.</t>
  </si>
  <si>
    <t>Calculated in '3b. ITC calcs' tab.</t>
  </si>
  <si>
    <t>Network capacity cost of the relevant minimum scheme.</t>
  </si>
  <si>
    <t>Addition to distributor's operating costs due to the new connection. Only relevant for large connections.</t>
  </si>
  <si>
    <t xml:space="preserve">We have assumed that the distributor estimates an operating cost equivalent to 5% of the up-front extension asset cost each year. Sums the NPV of annual opex for the connection for all years in the revenue life. 						</t>
  </si>
  <si>
    <t>Any incremental extension costs for injection (over and above the extension cost). Only applicable for connections that have injection (as well as load).</t>
  </si>
  <si>
    <t>Figures copied from 'Worked Examples' spreadsheet. Not relevant to variants 3a and 3b because they are load-only. Equal to zero for 3c because the minimum scheme is sufficient for the (small) injection.</t>
  </si>
  <si>
    <t>Only relevant for variants that have injection.</t>
  </si>
  <si>
    <t>Figures copied from 'Worked Examples' spreadsheet. Not relevant to variants 3a and 3b because they are load-only. Equal to zero for 3d because it is not expected to provide any avoided capacity cost benefits.</t>
  </si>
  <si>
    <t>Distributor may decide to have a single costing zone. See 'Network costing zones' tab for assumptions.</t>
  </si>
  <si>
    <t>Linked to figures in 'Network costing zones' tab.</t>
  </si>
  <si>
    <t xml:space="preserve">Figures copied from 'Worked Examples' spreadsheet. Capacity demand at LV, DS, and HVF tiers is zero for Scenario 3 variants because load is connected at zone substation level. </t>
  </si>
  <si>
    <t>Figures copied from 'Worked Examples' spreadsheet. Capacity demand at ZS and STL tiers is zero for variant 3b because the distributor has treated the zone substation and sub-transmission works as extension-like upgrades.</t>
  </si>
  <si>
    <t>Supporting operating cost loading calculation</t>
  </si>
  <si>
    <t>Extension cost</t>
  </si>
  <si>
    <t>Opex (%)</t>
  </si>
  <si>
    <t>Year-zero opex</t>
  </si>
  <si>
    <t>Addition to distributor's operating costs due to the new connection in the inital year.</t>
  </si>
  <si>
    <t>We have assumed that the distributor estimates an operating cost equivalent to 5% of the up-front extension asset cost each year.</t>
  </si>
  <si>
    <t>Variant for time-based calculation</t>
  </si>
  <si>
    <t>[Change variant in cell 'Sc3_variant' cell if required]</t>
  </si>
  <si>
    <t>Discount factor to adjust opex to present value.</t>
  </si>
  <si>
    <t>The portion of the initial year that the customer is connected. Will be equal to one for subsequent years.</t>
  </si>
  <si>
    <t>= a*b*c</t>
  </si>
  <si>
    <t>Annual opex</t>
  </si>
  <si>
    <t>In present value terms.</t>
  </si>
  <si>
    <t>Operating cost loading</t>
  </si>
  <si>
    <t xml:space="preserve">Sums the NPV of annual opex for the connection for all years in the revenue life. </t>
  </si>
  <si>
    <t>NPV of a specific year's distribution revenue is equal to the initial year distribution revenue multiplied by each of the discount factor, the distribution RAF, the distribution TAF, and the revenue ramp-up factor. The calculation is shown below for the variant selected in the 'Sc3_variant' cell.</t>
  </si>
  <si>
    <t>NPV of a specific year's transmission revenue is equal to the initial year transmission revenue multiplied by each of the discount factor, the transmission RAF, the transmission RAF, and the revenue ramp-up factor. The calculation is shown below for the variant selected in the 'Sc3_variant' cell. For variant 3b, it includes ITC recovered through annual charges (which are calculated in the tab '3b. ITC calcs'.</t>
  </si>
  <si>
    <t>Sum of IDR and ITR.</t>
  </si>
  <si>
    <t>Variant 3a customer</t>
  </si>
  <si>
    <t>Variant 3b customer</t>
  </si>
  <si>
    <t>Variant 3c customer</t>
  </si>
  <si>
    <t>Variant 3d customer</t>
  </si>
  <si>
    <t>For Scenario 3 variants, assumed to equal $120k (60% of $200k) for network contribution plus the operating cost loading ($10k for variants 3a, 3c, and 3d, and $153k for variant 3b). Annual distribution revenue is expected to be 3% lower for variant 3c.</t>
  </si>
  <si>
    <t>For Scenario 3 variants, assumed to equal $80k (40% of $200k) for network contribution.</t>
  </si>
  <si>
    <t>Distribution revenue adjustment factor (RAF) (real)</t>
  </si>
  <si>
    <t>Needs to be updated each pricing year. Our figures based on Wellington Electricity. Set to zero for years beyond the revenue life.</t>
  </si>
  <si>
    <t>Distribution tariff adjustment factor (TAF)</t>
  </si>
  <si>
    <t>Equal to 1 if there are no changes to tariff structures forecast. Have assumed no change in tariff structures. Set to zero for years beyond the revenue life.</t>
  </si>
  <si>
    <t>Transmission revenue adjustment factor (RAF) (real)</t>
  </si>
  <si>
    <t>Transmission tariff adjustment factor (TAF)</t>
  </si>
  <si>
    <t>f</t>
  </si>
  <si>
    <t>ITC recovered through annual charges</t>
  </si>
  <si>
    <t>Only relevant for variant 3b.</t>
  </si>
  <si>
    <t>= a*b*c*d*e+f</t>
  </si>
  <si>
    <t>Incremental transmission cost calculations for variant 3b</t>
  </si>
  <si>
    <t>key:</t>
  </si>
  <si>
    <t>set number</t>
  </si>
  <si>
    <t>Calculation of ITC for variant 3b</t>
  </si>
  <si>
    <t>Used to adjust first-year transmission revenue figure for overall movements in target revenue (which, all things being equal, will flow into lines charges).</t>
  </si>
  <si>
    <t xml:space="preserve">Have assumed the connection is livened and starts to produce transmission revenue sometime during the 12-month period starting 1 April 2025.Based on Wellington Electricity figures. Needs to be updated annually. </t>
  </si>
  <si>
    <t>Cost of GXP works</t>
  </si>
  <si>
    <t>Connection charge uplift</t>
  </si>
  <si>
    <t>Benefit-based charge adjustment</t>
  </si>
  <si>
    <t xml:space="preserve">Step change in cost allocation </t>
  </si>
  <si>
    <t>Adjusted incremental transmission cost (PV)</t>
  </si>
  <si>
    <t>Total incremental transmission cost (ITC)</t>
  </si>
  <si>
    <t>Calculation of ITC recovered through connection charge</t>
  </si>
  <si>
    <t>GXP works (PV)</t>
  </si>
  <si>
    <t>Calculation of ITC recovered through incremental revenue</t>
  </si>
  <si>
    <t>Incremental transmission costs recovered through annual charges (PV)</t>
  </si>
  <si>
    <t>Total incremental transmission costs recovered through annual charges (PV)</t>
  </si>
  <si>
    <t>Discount rate calculation</t>
  </si>
  <si>
    <t>All scenarios</t>
  </si>
  <si>
    <t>Mid-point vanilla WACC for EDBs</t>
  </si>
  <si>
    <t>Most recently available mid-point estimate of vanilla WACC (weighted average cost of capital) made by the Commerce Commission.</t>
  </si>
  <si>
    <t>Mid-point vanilla WACC for EDBS from May 2025 determination.</t>
  </si>
  <si>
    <t>Forecast annual CPI inflation for year to 1 June</t>
  </si>
  <si>
    <t>Inflation projection for the year ahead from the most recent Monetary Policy Statement (MPS) published by the Reserve Bank of New Zealand.</t>
  </si>
  <si>
    <t>Forecast annual CPI inflation from the May 2025 MPS for the year to 1 June 2026.</t>
  </si>
  <si>
    <t>Discount rate real</t>
  </si>
  <si>
    <t xml:space="preserve">Used to make compounding downward adjustments to revenue from future years. Is equal to the most recent available mid-point estimate of vanilla WACC less an adjustment to remove inflation </t>
  </si>
  <si>
    <t>Incremental opex scaling factor calculation</t>
  </si>
  <si>
    <t>Average selected opex (ASO)</t>
  </si>
  <si>
    <t>$m</t>
  </si>
  <si>
    <t>Based on Wellington Electricity's selected opex for 2022-2024.</t>
  </si>
  <si>
    <t>Average electricity distribution revenue (AEDR)</t>
  </si>
  <si>
    <t>Based on Wellington Electricity's distribution revenue for 2022-2024.</t>
  </si>
  <si>
    <t>Incremental opex scaling factor (I)</t>
  </si>
  <si>
    <t>Equal to 1-ASO/AEDR. Used in the incremental distribution revenue (IDR) estimation to recognise that some of the ongoing revenue collected through lines charges will go toward covering incremental operating costs for the new connection.</t>
  </si>
  <si>
    <t>Needs to be updated annually. Is distributor-specific.</t>
  </si>
  <si>
    <t>Revenue adjustment factors</t>
  </si>
  <si>
    <t>Used to adjust first-year distribution revenue figure for overall movements in target revenue (which, all things being equal, will flow into lines charges).</t>
  </si>
  <si>
    <t>Have assumed the connection is livened and starts to produce distribution revenue sometime during the 12-month period starting 1 April 2025. Based on Wellington Electricity figures. Needs to be updated annually.</t>
  </si>
  <si>
    <t>Consumer group and variant assumptions for incremental revenue and incremental transmission cost calculations</t>
  </si>
  <si>
    <t>Year-zero revenue</t>
  </si>
  <si>
    <t>Top-down year-zero revenue calculation for residential consumer group</t>
  </si>
  <si>
    <t>Distribution</t>
  </si>
  <si>
    <t>Transmission</t>
  </si>
  <si>
    <t>Target revenue</t>
  </si>
  <si>
    <t>$m/year</t>
  </si>
  <si>
    <t>Portion of target revenue allocated to residential consumers</t>
  </si>
  <si>
    <t>Number of residential consumers</t>
  </si>
  <si>
    <t>Year-one revenue</t>
  </si>
  <si>
    <t>Top-down year-zero revenue calculation for non-residential consumer group</t>
  </si>
  <si>
    <t>GLV15 consumer group revenue</t>
  </si>
  <si>
    <t>Number of GLV15 ICPs</t>
  </si>
  <si>
    <t>Bottom-up year-zero revenue calculation for variant 2a customer</t>
  </si>
  <si>
    <t>Load factors</t>
  </si>
  <si>
    <t>Load factor</t>
  </si>
  <si>
    <t>Year one</t>
  </si>
  <si>
    <t>Year two onwards</t>
  </si>
  <si>
    <t>Component</t>
  </si>
  <si>
    <t>Rate</t>
  </si>
  <si>
    <t>Metric</t>
  </si>
  <si>
    <t>Revenue ($)</t>
  </si>
  <si>
    <t>Notes</t>
  </si>
  <si>
    <t>Distribution revenue</t>
  </si>
  <si>
    <t>Fixed</t>
  </si>
  <si>
    <t>$/day</t>
  </si>
  <si>
    <t>Energy</t>
  </si>
  <si>
    <t>$/kWh</t>
  </si>
  <si>
    <t>Total distribution revenue</t>
  </si>
  <si>
    <t>Transmission revenue</t>
  </si>
  <si>
    <t>Total transmission revenue</t>
  </si>
  <si>
    <t>Distribution revenue ramp up in subsequent years</t>
  </si>
  <si>
    <t>Increase</t>
  </si>
  <si>
    <t>Increase in distribution revenue</t>
  </si>
  <si>
    <t>% increase in distribution revenue</t>
  </si>
  <si>
    <t>Bottom-up year-zero revenue calculation for variant 2b customer</t>
  </si>
  <si>
    <t>Year-zero revenue calculation for Scenario 3</t>
  </si>
  <si>
    <t>Variant 3a</t>
  </si>
  <si>
    <t>Variant 3c</t>
  </si>
  <si>
    <t>Variant 3d</t>
  </si>
  <si>
    <t>Distributor's determination of annual network contribution for customer</t>
  </si>
  <si>
    <t>Proportion recovered as distribution revenue</t>
  </si>
  <si>
    <t>Proportion recovered as transmission revenue</t>
  </si>
  <si>
    <t>Sacling for avoided cost of distribution</t>
  </si>
  <si>
    <t>Tariff adjustment factor</t>
  </si>
  <si>
    <t>Distribution tariff adjustment factor for each consumer group/customer</t>
  </si>
  <si>
    <t>Used to adjust revenue if the distributor is planning to rebalance distirubtion revenue allocation between consumer groups or resturcture tariffs in a way that alters estimated revenue for a connection. Equal to 1 if there are no changes to tariff structures forecast.</t>
  </si>
  <si>
    <t>Have assumed no change in tariff structures.</t>
  </si>
  <si>
    <t>Equal to residential row above.</t>
  </si>
  <si>
    <t>Used to adjust revenue if the distributor is planning to rebalance distirubtionrevenue allocation between consumer groups or resturcture tariffs in a way that alters estimated revenue for a connection. Equal to 1 if there are no changes to tariff structures forecast.</t>
  </si>
  <si>
    <t>Equal to non-residential row above.</t>
  </si>
  <si>
    <t>No change assumed.</t>
  </si>
  <si>
    <t>Equal to variant 3a.</t>
  </si>
  <si>
    <t>Transmission tariff adjustment factor for each consumer group/customer</t>
  </si>
  <si>
    <t>Used to adjust revenue if the distributor is planning to rebalance transmission revenue allocation between consumer groups or resturcture tariffs in a way that alters estimated revenue for a connection. Equal to 1 if there are no changes to tariff structures forecast.</t>
  </si>
  <si>
    <t>Based on Wellington Electricity stating that it is part-way through transitioning to a new target revenue allocation approach for transmission, reducing the portion allocated to residential connections from 61% to 51%. We have assumed this transition occurs over five years.</t>
  </si>
  <si>
    <t>Revenue ramp-up factor</t>
  </si>
  <si>
    <t>Distribution revenue ramp-up factor for each consumer group/customer</t>
  </si>
  <si>
    <t>Timing of revenue ramp-up.</t>
  </si>
  <si>
    <t>Have assumed that connection is livened half way through the pricing year. No revenue ramp-up for future years.</t>
  </si>
  <si>
    <t>Have assumed that connection is livened three-quarters of the way through the pricing year. Revenue ramps up by 47% in year two due to load factor increasing from 10% to 20%.</t>
  </si>
  <si>
    <t>Have assumed that connection is livened three-quarters of the way through the pricing year. Revenue ramps up by 52% in year two due to load factor increasing from 10% to 20%.</t>
  </si>
  <si>
    <t>Have assumed that connection is livened three-quarters of the way through the pricing year. No revenue ramp-up for future years.</t>
  </si>
  <si>
    <t>Transmission revenue ramp-up factor for each consumer group/customer</t>
  </si>
  <si>
    <t>Timing of revenue reaching  full potential. Equal to 1 once revenue reaches full potential.</t>
  </si>
  <si>
    <t>Have assumed that connection is livened three-quarters of the way through the pricing year. Increase in load factor from 10% to 20% in year two has no impact on transmission revenue because there is only a fixed (daily) charge for transmission.</t>
  </si>
  <si>
    <t>Unit capacity costs by network costing zone</t>
  </si>
  <si>
    <t>Unit capacity cost - LV</t>
  </si>
  <si>
    <t>Unit cost for incremental low voltage mains (LV) capacity</t>
  </si>
  <si>
    <t>Unit capacity cost - DS</t>
  </si>
  <si>
    <t>Unit cost for incremental distribution substation (DS) capacity</t>
  </si>
  <si>
    <t>Unit capacity cost - HVF</t>
  </si>
  <si>
    <t>Unit cost for incremental high voltage feeder (HVF) capacity</t>
  </si>
  <si>
    <t>Unit capacity cost - ZS</t>
  </si>
  <si>
    <t>Unit cost for incremental zone substation (ZS) capacity</t>
  </si>
  <si>
    <t>Unit capacity cost - STL</t>
  </si>
  <si>
    <t>Unit cost for incremental sub-transmission line (STL) capacity</t>
  </si>
  <si>
    <t>Scenario 1</t>
  </si>
  <si>
    <t>Scenario 2</t>
  </si>
  <si>
    <t>Scenario 3</t>
  </si>
  <si>
    <t>ITC build-up for example 3b</t>
  </si>
  <si>
    <t>CC = (IC - IR) + NC</t>
  </si>
  <si>
    <t>…</t>
  </si>
  <si>
    <t>CC =</t>
  </si>
  <si>
    <t>Connection charge</t>
  </si>
  <si>
    <t>IC =</t>
  </si>
  <si>
    <t>Incremental cost</t>
  </si>
  <si>
    <t>IR =</t>
  </si>
  <si>
    <t>Incremental revenue</t>
  </si>
  <si>
    <t>Transmission RAF*</t>
  </si>
  <si>
    <t>NIC (IC-IR) =</t>
  </si>
  <si>
    <t>Net incremental cost</t>
  </si>
  <si>
    <t>NC =</t>
  </si>
  <si>
    <t>Network contribution (= CC - NIC)</t>
  </si>
  <si>
    <t>GXP works</t>
  </si>
  <si>
    <t>Reliance =</t>
  </si>
  <si>
    <t>Portion of IC contributed up-front</t>
  </si>
  <si>
    <t>Adjustment event</t>
  </si>
  <si>
    <t>Up-front revenue =</t>
  </si>
  <si>
    <t>Portion of revenue contributed up-front</t>
  </si>
  <si>
    <t>New BBI</t>
  </si>
  <si>
    <t>NC ratio =</t>
  </si>
  <si>
    <t>Portion of revenue contributing to network costs</t>
  </si>
  <si>
    <t>Present value</t>
  </si>
  <si>
    <t>Total ITC**</t>
  </si>
  <si>
    <t>* Applied to connection charge uplift only</t>
  </si>
  <si>
    <t>** Calculated over 15 year period</t>
  </si>
  <si>
    <t xml:space="preserve">List for data validation </t>
  </si>
  <si>
    <t>N/A</t>
  </si>
  <si>
    <t>Variant 2a</t>
  </si>
  <si>
    <t>We have assumed the default connection revenue life for non-residential connections (15 years) for all Scenario 2 variants. Note that the partial initial year is not included in revenue life (so the variants effectively have revenue lives of 15.25 years).</t>
  </si>
  <si>
    <t xml:space="preserve">Needs to updated annually. Is not distributor-specific. </t>
  </si>
  <si>
    <t>Figures copied from 'Worked Examples' spreadsheet. Not relevant for any of the Scenario 2 variants.</t>
  </si>
  <si>
    <t>Not relevant to any of the Scenario 2 variants.</t>
  </si>
  <si>
    <t>Not relevant to Scenario 2 variants because they are load-only.</t>
  </si>
  <si>
    <t>NPV of a specific year's distribution revenue is equal to the initial year distribution revenue multiplied by each of the incremental opex scaling factor, the discount factor, the distribution RAF, the distribution TAF, and the revenue ramp-up factor. The calculation is shown below for the variant selected in the 'Sc2_variant' cell.</t>
  </si>
  <si>
    <t>NPV of a specific year's transmission revenue is equal to the initial year transmission revenue multiplied by each of the discount factor, the transmission RAF, the transmission TAF, and the revenue ramp-up factor. The calculation is shown below for the variant selected in the 'Sc2_variant' cell.</t>
  </si>
  <si>
    <t>For Scenario 3 variants, is equal to 0.25 for year 0 (because customer is connected 3/4s of the way through the pricing year) and then 1 for subsequent years (up to year 15). Set to zero for years beyond the revenue life.</t>
  </si>
  <si>
    <t>Discount factor is the same for all variants and for both distribution and transmission revenue. Set to zero for years beyond the revnue life. Set to zero for years beyond the revenue life.</t>
  </si>
  <si>
    <t>Discount factor is the same for all variants and for both distribution and transmission revenue. Set to zero for years beyond the revenue life.</t>
  </si>
  <si>
    <t>Have assumed that connection is livened three-quarters of the way through the pricing year (beginning of Jan 2026). Load factor doubles in year two, which increases total distribution revenue significantly in year two (and is sustained during subsequent years). Set to zero for years beyond the revenue life.</t>
  </si>
  <si>
    <t>Have assumed that connection is livened three-quarters of the way through the pricing year (beginning of Jan 2026). Load factor doubles in year two but this has no impact on transmission revenue (because there is only a fixed charge for transmission). Set to zero for years beyond the revenue life.</t>
  </si>
  <si>
    <t>For Scenario 2 variants, use a bottom-up approach, where the distributor estimates distribution revenue based on the applicable tariffs and estimated usage.</t>
  </si>
  <si>
    <t xml:space="preserve">For Scenario 2 variants, use a bottom-up approach, where the distributor estimates transmission revenue based on the applicable tariffs. </t>
  </si>
  <si>
    <t>This spreadsheet provides a reconciliation of a connection charge into incremental cost, incremental revenue, and network contribution for the small connection (Scenario 1) variants in the Electricity Authority's distribution connection pricing worked examples.</t>
  </si>
  <si>
    <t>- This sheet is split into seven sections, which are numbered 1-7 below. 
- Section 1 lists the variants in Scenario 1, section 2 provides a summary of the reconciliation, section 3 sets out year and discount factor assumptions, and sections 4-7 include the inputs and calculations for each of the components in the reconciliation (connection charge, incremental cost, incremental revenue, and network contribution). 
- User should select the variant they're interested in (in the cell 'Sc1_variant' in section 1) to view time-based inputs for that variant.
- The sheet relies on inputs from the ''Distributor assumptions', 'Con group &amp; variant assumptions', and 'Network costing zones' tabs, as well as the accompanying 'Worked Examples' spreadsheet.</t>
  </si>
  <si>
    <t>We have assumed the default connection revenue life for residential connections (30 years) for variants 1a-1d and for non-residential connections (15 years) for variants 1e-1g. Note that the partial initial year is not included in revenue life (so the variants effectively have revenue lives of 30.5 years (variants 1a-1d) and 15.5 years (variants 1e-1g)).</t>
  </si>
  <si>
    <t xml:space="preserve">Figures copied from 'Worked Examples' spreadsheet. </t>
  </si>
  <si>
    <t>Not relevant to any of the Scenario 1 variants.</t>
  </si>
  <si>
    <t>Must be included in incremental cost regardless of whether upstream capacity costs are allocated to the connection. Is equal to the sum product of the capacity rate (in most cases, the posted capacity rate) multiplied by the capacity demand assumption for each applicable tier. Calculation of capacity cost is shown below (and is also in the 'Worked Examples' spreadsheet).</t>
  </si>
  <si>
    <t>Not relevant to Scenario 1 variants because they are load-only.</t>
  </si>
  <si>
    <t>Consumer group is used to determine initial year revenue. For larger customers, initial year revenue can be customer-specific.</t>
  </si>
  <si>
    <t>We have calculated using a "top-down"approach. This involves dividing revenue from residential tariffs by the number of active residential ICPs for variants 1a-1d, and dividing revenue from non-residential tariffs by the number of active non-residential ICPs for varaints 1e-1g. See calculations in 'Cons group &amp; variant assumption' tab.</t>
  </si>
  <si>
    <t>Some time-based inputs vary by variant. The inputs for a particular variant are shown in the tables below by selecting the variant of interest in the cell 'Sc2_variant'.</t>
  </si>
  <si>
    <t>Some time-based inputs vary by variant. The inputs for a particular variant are shown in the tables below by selecting the variant of interest in the cell 'Sc1_variant'.</t>
  </si>
  <si>
    <t>[Change variant in cell 'Sc1_variant' cell if required]</t>
  </si>
  <si>
    <t>Have assumed that connection is livened halfway through the pricing year. Set to zero for years beyond the revenue life.</t>
  </si>
  <si>
    <t>Inverse of residential transmission TAF.</t>
  </si>
  <si>
    <t>Equal to 1 if there are no changes to tariff structures forecast. Our transmission TAF for residential connections is based on Wellington Electricity stating that it is part-way through transitioning to a new target revenue allocation approach for transmission, reducing the portion allocated to residential connections from 61% to 51%. We have assumed this transition occurs over five years. The transmission TAF for non-residential connections is the inverse of the transmission TAF for residential connections. Set to zero for years beyond the revenue life.</t>
  </si>
  <si>
    <t>Distributor assumptions for incremental revenue calculations</t>
  </si>
  <si>
    <t>Location type</t>
  </si>
  <si>
    <t>Posted charge</t>
  </si>
  <si>
    <t>Flexi scheme</t>
  </si>
  <si>
    <t>Customer-selected enhancement</t>
  </si>
  <si>
    <t>Distributor-selected enhancement</t>
  </si>
  <si>
    <t>Bespoke or project capacity cost</t>
  </si>
  <si>
    <t>Active pioneer scheme</t>
  </si>
  <si>
    <t>Incremental transmission costs</t>
  </si>
  <si>
    <t>Connection includes injection</t>
  </si>
  <si>
    <t>Revenue life for reconciliation</t>
  </si>
  <si>
    <t>Variants illustrate:</t>
  </si>
  <si>
    <t>urban</t>
  </si>
  <si>
    <t>ü</t>
  </si>
  <si>
    <t>û</t>
  </si>
  <si>
    <t>30 years</t>
  </si>
  <si>
    <t>rural</t>
  </si>
  <si>
    <t>15 years</t>
  </si>
  <si>
    <t>remote</t>
  </si>
  <si>
    <t>1. Small</t>
  </si>
  <si>
    <t>3. Large</t>
  </si>
  <si>
    <t>2. Remote mid-sized</t>
  </si>
  <si>
    <t>Local cost recovery scheme</t>
  </si>
  <si>
    <t>Capacity cost allocation</t>
  </si>
  <si>
    <t>Variant</t>
  </si>
  <si>
    <t>Scenario</t>
  </si>
  <si>
    <t>Large connection at zone substation level with special pricing that involves GXP work (includes ITCs)</t>
  </si>
  <si>
    <t>bespoke</t>
  </si>
  <si>
    <t xml:space="preserve"> -  use of posted charges
 -  application of enhancement cost allocation, capacity costing, pioneer scheme calculations, and local cost recovery schemes
 -  top-down revenue estimate.</t>
  </si>
  <si>
    <t xml:space="preserve"> -  an extension-like upgrade
 -  use of a bespoke capacity rate
 -  bottom-up incremental revenue estimate
 -  use of a minimum flexi scheme.
</t>
  </si>
  <si>
    <t xml:space="preserve"> -  reconciliation for a customer with special pricing
 -  application of incremental transmission costs
 -  the application of distribution connection pricing when there is both load and injection.</t>
  </si>
  <si>
    <t>Summary of worked examples</t>
  </si>
  <si>
    <t>Charge reconciliation summary</t>
  </si>
  <si>
    <t>This sheet provides a charge reconciliation summary for a selected variant. Select the variant you're interested in below.</t>
  </si>
  <si>
    <t>Variant:</t>
  </si>
  <si>
    <t>The table showing the ITC build-up for example 3b is shown below.</t>
  </si>
  <si>
    <t>Capacity costs are based on rates in Network Capacity Rates Guidance. Urban rates are close to the averages of 'Auckland Urban' and 'Northern Urban' rates. Rural rates (A and B) are close to the 'Rural' rates in the guidance, but we have zero-rated capacity for rural LV mains and distributions substations in 'Rural A' to reflect these components having sufficient capacity that the distributor thinks they are unlikely to run out of capacity within their network planning horizon.</t>
  </si>
  <si>
    <t>Variant 1a</t>
  </si>
  <si>
    <t>Figures copied from 'Worked Examples' spreadsheet. Capacity demand at LV and DS tiers is zero for variant 2a because load is connected at HVF tier and zero at LV tier for 2b because load is connected at DS tier.</t>
  </si>
  <si>
    <t>Assumes 15% load factor (energy is based on 225 kW x 24 hours x 365 days x 15%)</t>
  </si>
  <si>
    <t>Variant 1g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</si>
</sst>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Red]\-&quot;$&quot;#,##0"/>
    <numFmt numFmtId="165" formatCode="_-&quot;$&quot;* #,##0.00_-;\-&quot;$&quot;* #,##0.00_-;_-&quot;$&quot;* &quot;-&quot;??_-;_-@_-"/>
    <numFmt numFmtId="166" formatCode="_-* #,##0.00_-;\-* #,##0.00_-;_-* &quot;-&quot;??_-;_-@_-"/>
    <numFmt numFmtId="167" formatCode="#,##0.0"/>
    <numFmt numFmtId="168" formatCode="0.0"/>
    <numFmt numFmtId="169" formatCode="0.0%"/>
    <numFmt numFmtId="170" formatCode="_-* #,##0_-;\-* #,##0_-;_-* &quot;-&quot;??_-;_-@_-"/>
    <numFmt numFmtId="171" formatCode="_-&quot;$&quot;* #,##0_-;\-&quot;$&quot;* #,##0_-;_-&quot;$&quot;* &quot;-&quot;??_-;_-@_-"/>
  </numFmts>
  <fonts count="46" x14ac:knownFonts="1">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FF0000"/>
      <name val="Aptos Narrow"/>
      <family val="2"/>
      <scheme val="minor"/>
    </font>
    <font>
      <b/>
      <sz val="11"/>
      <color theme="1"/>
      <name val="Aptos Narrow"/>
      <family val="2"/>
      <scheme val="minor"/>
    </font>
    <font>
      <i/>
      <sz val="11"/>
      <color theme="0" tint="-0.499984740745262"/>
      <name val="Aptos Narrow"/>
      <family val="2"/>
      <scheme val="minor"/>
    </font>
    <font>
      <b/>
      <u/>
      <sz val="11"/>
      <color theme="1"/>
      <name val="Aptos Narrow"/>
      <family val="2"/>
      <scheme val="minor"/>
    </font>
    <font>
      <sz val="8"/>
      <name val="Aptos Narrow"/>
      <family val="2"/>
      <scheme val="minor"/>
    </font>
    <font>
      <i/>
      <sz val="8"/>
      <color theme="0" tint="-0.499984740745262"/>
      <name val="Aptos Narrow"/>
      <family val="2"/>
      <scheme val="minor"/>
    </font>
    <font>
      <sz val="11"/>
      <name val="Aptos Narrow"/>
      <family val="2"/>
      <scheme val="minor"/>
    </font>
    <font>
      <sz val="11"/>
      <color rgb="FF0070C0"/>
      <name val="Aptos Narrow"/>
      <family val="2"/>
      <scheme val="minor"/>
    </font>
    <font>
      <sz val="11"/>
      <color theme="6"/>
      <name val="Aptos Narrow"/>
      <family val="2"/>
      <scheme val="minor"/>
    </font>
    <font>
      <b/>
      <sz val="11"/>
      <color theme="6"/>
      <name val="Aptos Narrow"/>
      <family val="2"/>
      <scheme val="minor"/>
    </font>
    <font>
      <sz val="11"/>
      <color theme="8"/>
      <name val="Aptos Narrow"/>
      <family val="2"/>
      <scheme val="minor"/>
    </font>
    <font>
      <b/>
      <sz val="11"/>
      <name val="Aptos Narrow"/>
      <family val="2"/>
      <scheme val="minor"/>
    </font>
    <font>
      <sz val="9"/>
      <color rgb="FF7030A0"/>
      <name val="Aptos Narrow"/>
      <family val="2"/>
      <scheme val="minor"/>
    </font>
    <font>
      <sz val="8"/>
      <color theme="8"/>
      <name val="Aptos Narrow"/>
      <family val="2"/>
      <scheme val="minor"/>
    </font>
    <font>
      <sz val="10"/>
      <name val="Aptos Narrow"/>
      <family val="2"/>
      <scheme val="minor"/>
    </font>
    <font>
      <sz val="11"/>
      <color theme="1"/>
      <name val="Aptos Narrow"/>
      <family val="2"/>
    </font>
    <font>
      <i/>
      <sz val="11"/>
      <color theme="1"/>
      <name val="Aptos Narrow"/>
      <family val="2"/>
      <scheme val="minor"/>
    </font>
    <font>
      <sz val="11"/>
      <color rgb="FFEE0000"/>
      <name val="Aptos Narrow"/>
      <family val="2"/>
      <scheme val="minor"/>
    </font>
    <font>
      <sz val="10"/>
      <color theme="1"/>
      <name val="Aptos Narrow"/>
      <family val="2"/>
      <scheme val="minor"/>
    </font>
    <font>
      <b/>
      <sz val="11"/>
      <color rgb="FF0070C0"/>
      <name val="Aptos Narrow"/>
      <family val="2"/>
      <scheme val="minor"/>
    </font>
    <font>
      <b/>
      <i/>
      <sz val="11"/>
      <color theme="1"/>
      <name val="Aptos Narrow"/>
      <family val="2"/>
      <scheme val="minor"/>
    </font>
    <font>
      <i/>
      <sz val="10"/>
      <color theme="1"/>
      <name val="Aptos Narrow"/>
      <family val="2"/>
      <scheme val="minor"/>
    </font>
    <font>
      <sz val="11"/>
      <color theme="0" tint="-0.499984740745262"/>
      <name val="Aptos Narrow"/>
      <family val="2"/>
      <scheme val="minor"/>
    </font>
    <font>
      <b/>
      <sz val="16"/>
      <color theme="1"/>
      <name val="Aptos Narrow"/>
      <family val="2"/>
      <scheme val="minor"/>
    </font>
    <font>
      <b/>
      <sz val="16"/>
      <color theme="8" tint="-0.249977111117893"/>
      <name val="Aptos Narrow"/>
      <family val="2"/>
      <scheme val="minor"/>
    </font>
    <font>
      <sz val="16"/>
      <color theme="1"/>
      <name val="Aptos Narrow"/>
      <family val="2"/>
      <scheme val="minor"/>
    </font>
    <font>
      <i/>
      <sz val="9"/>
      <color theme="1" tint="0.249977111117893"/>
      <name val="Aptos Narrow"/>
      <family val="2"/>
      <scheme val="minor"/>
    </font>
    <font>
      <i/>
      <sz val="11"/>
      <color theme="1" tint="0.249977111117893"/>
      <name val="Aptos Narrow"/>
      <family val="2"/>
      <scheme val="minor"/>
    </font>
    <font>
      <sz val="11"/>
      <color rgb="FF7030A0"/>
      <name val="Aptos Narrow"/>
      <family val="2"/>
      <scheme val="minor"/>
    </font>
    <font>
      <sz val="10"/>
      <color rgb="FF7030A0"/>
      <name val="Aptos Narrow"/>
      <family val="2"/>
      <scheme val="minor"/>
    </font>
    <font>
      <b/>
      <sz val="10"/>
      <color theme="0"/>
      <name val="Aptos Narrow"/>
      <family val="2"/>
      <scheme val="minor"/>
    </font>
    <font>
      <b/>
      <sz val="10"/>
      <color rgb="FFFF0000"/>
      <name val="Aptos Narrow"/>
      <family val="2"/>
      <scheme val="minor"/>
    </font>
    <font>
      <b/>
      <sz val="10"/>
      <color theme="1"/>
      <name val="Aptos Narrow"/>
      <family val="2"/>
      <scheme val="minor"/>
    </font>
    <font>
      <sz val="10"/>
      <color theme="1"/>
      <name val="Arial"/>
      <family val="2"/>
    </font>
    <font>
      <sz val="10"/>
      <color rgb="FF000000"/>
      <name val="Symbol"/>
      <family val="1"/>
      <charset val="2"/>
    </font>
    <font>
      <sz val="10"/>
      <color rgb="FFFF0000"/>
      <name val="Aptos Narrow"/>
      <family val="2"/>
      <scheme val="minor"/>
    </font>
    <font>
      <b/>
      <sz val="10"/>
      <name val="Aptos Narrow"/>
      <family val="2"/>
      <scheme val="minor"/>
    </font>
    <font>
      <sz val="10"/>
      <name val="Wingdings"/>
      <charset val="2"/>
    </font>
    <font>
      <sz val="10"/>
      <color rgb="FF0070C0"/>
      <name val="Aptos Narrow"/>
      <family val="2"/>
      <scheme val="minor"/>
    </font>
    <font>
      <sz val="10"/>
      <color theme="6"/>
      <name val="Aptos Narrow"/>
      <family val="2"/>
      <scheme val="minor"/>
    </font>
    <font>
      <sz val="10"/>
      <color theme="8" tint="-0.249977111117893"/>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rgb="FFDAE9F8"/>
        <bgColor indexed="64"/>
      </patternFill>
    </fill>
    <fill>
      <patternFill patternType="solid">
        <fgColor theme="5" tint="0.59999389629810485"/>
        <bgColor indexed="64"/>
      </patternFill>
    </fill>
    <fill>
      <patternFill patternType="solid">
        <fgColor rgb="FF002749"/>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ck">
        <color theme="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2" fillId="0" borderId="1" applyNumberFormat="0" applyFill="0" applyAlignment="0" applyProtection="0"/>
    <xf numFmtId="0" fontId="3" fillId="5" borderId="2" applyNumberFormat="0" applyAlignment="0" applyProtection="0"/>
    <xf numFmtId="0" fontId="4" fillId="0" borderId="3" applyNumberFormat="0" applyFill="0" applyAlignment="0" applyProtection="0"/>
    <xf numFmtId="0" fontId="4"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267">
    <xf numFmtId="0" fontId="0" fillId="0" borderId="0" xfId="0"/>
    <xf numFmtId="0" fontId="2" fillId="2" borderId="1" xfId="2" applyFill="1"/>
    <xf numFmtId="0" fontId="0" fillId="2" borderId="0" xfId="0" applyFill="1"/>
    <xf numFmtId="0" fontId="3" fillId="2" borderId="2" xfId="3" applyFill="1"/>
    <xf numFmtId="0" fontId="7" fillId="2" borderId="0" xfId="0" applyFont="1" applyFill="1"/>
    <xf numFmtId="0" fontId="0" fillId="2" borderId="4" xfId="0" applyFill="1" applyBorder="1"/>
    <xf numFmtId="0" fontId="6" fillId="2" borderId="4" xfId="0" applyFont="1" applyFill="1" applyBorder="1"/>
    <xf numFmtId="0" fontId="6" fillId="2" borderId="0" xfId="0" applyFont="1" applyFill="1"/>
    <xf numFmtId="0" fontId="8" fillId="2" borderId="0" xfId="0" applyFont="1" applyFill="1"/>
    <xf numFmtId="0" fontId="4" fillId="2" borderId="3" xfId="4" applyFill="1"/>
    <xf numFmtId="3" fontId="5" fillId="2" borderId="4" xfId="0" applyNumberFormat="1" applyFont="1" applyFill="1" applyBorder="1"/>
    <xf numFmtId="167" fontId="5" fillId="2" borderId="4" xfId="0" applyNumberFormat="1" applyFont="1" applyFill="1" applyBorder="1"/>
    <xf numFmtId="167" fontId="12" fillId="2" borderId="4" xfId="0" applyNumberFormat="1" applyFont="1" applyFill="1" applyBorder="1"/>
    <xf numFmtId="0" fontId="7" fillId="2" borderId="0" xfId="0" applyFont="1" applyFill="1" applyAlignment="1">
      <alignment horizontal="right"/>
    </xf>
    <xf numFmtId="0" fontId="0" fillId="2" borderId="6" xfId="0" applyFill="1" applyBorder="1"/>
    <xf numFmtId="167" fontId="12" fillId="2" borderId="6" xfId="0" applyNumberFormat="1" applyFont="1" applyFill="1" applyBorder="1"/>
    <xf numFmtId="0" fontId="0" fillId="2" borderId="8" xfId="0" applyFill="1" applyBorder="1"/>
    <xf numFmtId="0" fontId="6" fillId="2" borderId="7" xfId="0" applyFont="1" applyFill="1" applyBorder="1"/>
    <xf numFmtId="167" fontId="14" fillId="2" borderId="8" xfId="0" applyNumberFormat="1" applyFont="1" applyFill="1" applyBorder="1"/>
    <xf numFmtId="0" fontId="10" fillId="2" borderId="0" xfId="0" applyFont="1" applyFill="1" applyAlignment="1">
      <alignment horizontal="center"/>
    </xf>
    <xf numFmtId="2" fontId="13" fillId="2" borderId="4" xfId="0" applyNumberFormat="1" applyFont="1" applyFill="1" applyBorder="1"/>
    <xf numFmtId="0" fontId="4" fillId="2" borderId="0" xfId="5" applyFill="1"/>
    <xf numFmtId="0" fontId="0" fillId="2" borderId="0" xfId="0" applyFill="1" applyAlignment="1">
      <alignment horizontal="center" vertical="center"/>
    </xf>
    <xf numFmtId="3" fontId="5" fillId="2" borderId="0" xfId="0" applyNumberFormat="1" applyFont="1" applyFill="1"/>
    <xf numFmtId="0" fontId="9" fillId="2" borderId="0" xfId="0" applyFont="1" applyFill="1" applyAlignment="1">
      <alignment wrapText="1"/>
    </xf>
    <xf numFmtId="167" fontId="5" fillId="2" borderId="0" xfId="0" applyNumberFormat="1" applyFont="1" applyFill="1"/>
    <xf numFmtId="3" fontId="12" fillId="2" borderId="4" xfId="0" applyNumberFormat="1" applyFont="1" applyFill="1" applyBorder="1"/>
    <xf numFmtId="3" fontId="12" fillId="2" borderId="0" xfId="0" applyNumberFormat="1" applyFont="1" applyFill="1"/>
    <xf numFmtId="0" fontId="6" fillId="2" borderId="0" xfId="0" applyFont="1" applyFill="1" applyAlignment="1">
      <alignment horizontal="right"/>
    </xf>
    <xf numFmtId="0" fontId="20" fillId="2" borderId="0" xfId="0" applyFont="1" applyFill="1"/>
    <xf numFmtId="0" fontId="20" fillId="2" borderId="0" xfId="0" applyFont="1" applyFill="1" applyAlignment="1">
      <alignment vertical="center"/>
    </xf>
    <xf numFmtId="0" fontId="15" fillId="2" borderId="0" xfId="0" applyFont="1" applyFill="1" applyAlignment="1">
      <alignment horizontal="left" vertical="center"/>
    </xf>
    <xf numFmtId="0" fontId="21" fillId="2" borderId="0" xfId="0" applyFont="1" applyFill="1" applyAlignment="1">
      <alignment horizontal="left" indent="3"/>
    </xf>
    <xf numFmtId="3" fontId="17" fillId="2" borderId="0" xfId="0" applyNumberFormat="1" applyFont="1" applyFill="1" applyAlignment="1">
      <alignment wrapText="1"/>
    </xf>
    <xf numFmtId="0" fontId="18" fillId="2" borderId="4" xfId="0" applyFont="1" applyFill="1" applyBorder="1" applyAlignment="1">
      <alignment vertical="center" wrapText="1"/>
    </xf>
    <xf numFmtId="4" fontId="12" fillId="2" borderId="4" xfId="0" applyNumberFormat="1" applyFont="1" applyFill="1" applyBorder="1"/>
    <xf numFmtId="0" fontId="18" fillId="2" borderId="0" xfId="0" applyFont="1" applyFill="1" applyAlignment="1">
      <alignment vertical="center" wrapText="1"/>
    </xf>
    <xf numFmtId="168" fontId="0" fillId="2" borderId="0" xfId="0" applyNumberFormat="1" applyFill="1"/>
    <xf numFmtId="4" fontId="13" fillId="2" borderId="4" xfId="0" applyNumberFormat="1" applyFont="1" applyFill="1" applyBorder="1"/>
    <xf numFmtId="0" fontId="6" fillId="2" borderId="4" xfId="0" applyFont="1" applyFill="1" applyBorder="1" applyAlignment="1">
      <alignment horizontal="center"/>
    </xf>
    <xf numFmtId="0" fontId="6" fillId="2" borderId="0" xfId="0" applyFont="1" applyFill="1" applyAlignment="1">
      <alignment horizontal="center"/>
    </xf>
    <xf numFmtId="168" fontId="6" fillId="2" borderId="0" xfId="0" applyNumberFormat="1" applyFont="1" applyFill="1" applyAlignment="1">
      <alignment horizontal="center" vertical="center"/>
    </xf>
    <xf numFmtId="0" fontId="0" fillId="2" borderId="4" xfId="0" applyFill="1" applyBorder="1" applyAlignment="1">
      <alignment horizontal="left"/>
    </xf>
    <xf numFmtId="0" fontId="4" fillId="2" borderId="0" xfId="4" applyFill="1" applyBorder="1"/>
    <xf numFmtId="0" fontId="19" fillId="2" borderId="0" xfId="0" applyFont="1" applyFill="1" applyAlignment="1">
      <alignment horizontal="left" wrapText="1"/>
    </xf>
    <xf numFmtId="0" fontId="13" fillId="2" borderId="4" xfId="0" applyFont="1" applyFill="1" applyBorder="1"/>
    <xf numFmtId="0" fontId="6" fillId="0" borderId="0" xfId="0" applyFont="1"/>
    <xf numFmtId="0" fontId="9" fillId="2" borderId="0" xfId="0" applyFont="1" applyFill="1" applyAlignment="1">
      <alignment horizontal="left" wrapText="1"/>
    </xf>
    <xf numFmtId="10" fontId="22" fillId="2" borderId="4" xfId="0" applyNumberFormat="1" applyFont="1" applyFill="1" applyBorder="1"/>
    <xf numFmtId="0" fontId="6" fillId="2" borderId="8" xfId="0" applyFont="1" applyFill="1" applyBorder="1"/>
    <xf numFmtId="10" fontId="14" fillId="2" borderId="8" xfId="0" applyNumberFormat="1" applyFont="1" applyFill="1" applyBorder="1"/>
    <xf numFmtId="168" fontId="22" fillId="2" borderId="4" xfId="1" applyNumberFormat="1" applyFont="1" applyFill="1" applyBorder="1"/>
    <xf numFmtId="10" fontId="22" fillId="2" borderId="0" xfId="0" applyNumberFormat="1" applyFont="1" applyFill="1"/>
    <xf numFmtId="0" fontId="6" fillId="2" borderId="4" xfId="0" applyFont="1" applyFill="1" applyBorder="1" applyAlignment="1">
      <alignment wrapText="1"/>
    </xf>
    <xf numFmtId="4" fontId="5" fillId="2" borderId="4" xfId="0" applyNumberFormat="1" applyFont="1" applyFill="1" applyBorder="1"/>
    <xf numFmtId="10" fontId="12" fillId="0" borderId="4" xfId="1" applyNumberFormat="1" applyFont="1" applyFill="1" applyBorder="1"/>
    <xf numFmtId="169" fontId="12" fillId="0" borderId="4" xfId="1" applyNumberFormat="1" applyFont="1" applyFill="1" applyBorder="1"/>
    <xf numFmtId="170" fontId="0" fillId="2" borderId="0" xfId="6" applyNumberFormat="1" applyFont="1" applyFill="1" applyBorder="1"/>
    <xf numFmtId="0" fontId="0" fillId="2" borderId="0" xfId="0" applyFill="1" applyAlignment="1">
      <alignment horizontal="left"/>
    </xf>
    <xf numFmtId="0" fontId="0" fillId="2" borderId="0" xfId="0" applyFill="1" applyAlignment="1">
      <alignment horizontal="center"/>
    </xf>
    <xf numFmtId="0" fontId="0" fillId="2" borderId="0" xfId="0" applyFill="1" applyAlignment="1">
      <alignment horizontal="right"/>
    </xf>
    <xf numFmtId="0" fontId="12" fillId="2" borderId="0" xfId="0" applyFont="1" applyFill="1" applyAlignment="1">
      <alignment horizontal="right"/>
    </xf>
    <xf numFmtId="2" fontId="11" fillId="2" borderId="4" xfId="0" applyNumberFormat="1" applyFont="1" applyFill="1" applyBorder="1"/>
    <xf numFmtId="2" fontId="12" fillId="2" borderId="4" xfId="0" applyNumberFormat="1" applyFont="1" applyFill="1" applyBorder="1"/>
    <xf numFmtId="169" fontId="12" fillId="2" borderId="4" xfId="0" applyNumberFormat="1" applyFont="1" applyFill="1" applyBorder="1"/>
    <xf numFmtId="3" fontId="14" fillId="2" borderId="4" xfId="0" applyNumberFormat="1" applyFont="1" applyFill="1" applyBorder="1"/>
    <xf numFmtId="0" fontId="6" fillId="2" borderId="9" xfId="0" applyFont="1" applyFill="1" applyBorder="1"/>
    <xf numFmtId="0" fontId="0" fillId="2" borderId="9" xfId="0" applyFill="1" applyBorder="1"/>
    <xf numFmtId="169" fontId="13" fillId="0" borderId="4" xfId="1" applyNumberFormat="1" applyFont="1" applyFill="1" applyBorder="1"/>
    <xf numFmtId="0" fontId="6" fillId="2" borderId="0" xfId="0" applyFont="1" applyFill="1" applyAlignment="1">
      <alignment horizontal="left" wrapText="1"/>
    </xf>
    <xf numFmtId="0" fontId="6" fillId="2" borderId="13" xfId="0" applyFont="1" applyFill="1" applyBorder="1"/>
    <xf numFmtId="0" fontId="11" fillId="2" borderId="0" xfId="0" applyFont="1" applyFill="1" applyAlignment="1">
      <alignment horizontal="center" vertical="center" wrapText="1"/>
    </xf>
    <xf numFmtId="169" fontId="13" fillId="0" borderId="0" xfId="1" applyNumberFormat="1" applyFont="1" applyFill="1" applyBorder="1"/>
    <xf numFmtId="0" fontId="3" fillId="4" borderId="2" xfId="3" applyFill="1"/>
    <xf numFmtId="0" fontId="10" fillId="2" borderId="0" xfId="0" quotePrefix="1" applyFont="1" applyFill="1" applyAlignment="1">
      <alignment horizontal="center"/>
    </xf>
    <xf numFmtId="3" fontId="14" fillId="2" borderId="0" xfId="0" applyNumberFormat="1" applyFont="1" applyFill="1"/>
    <xf numFmtId="0" fontId="22" fillId="2" borderId="4" xfId="0" applyFont="1" applyFill="1" applyBorder="1"/>
    <xf numFmtId="0" fontId="12" fillId="2" borderId="4" xfId="0" applyFont="1" applyFill="1" applyBorder="1"/>
    <xf numFmtId="2" fontId="24" fillId="2" borderId="0" xfId="0" applyNumberFormat="1" applyFont="1" applyFill="1"/>
    <xf numFmtId="3" fontId="22" fillId="2" borderId="4" xfId="0" applyNumberFormat="1" applyFont="1" applyFill="1" applyBorder="1"/>
    <xf numFmtId="4" fontId="22" fillId="2" borderId="4" xfId="0" applyNumberFormat="1" applyFont="1" applyFill="1" applyBorder="1"/>
    <xf numFmtId="0" fontId="23" fillId="2" borderId="0" xfId="0" applyFont="1" applyFill="1"/>
    <xf numFmtId="164" fontId="0" fillId="2" borderId="0" xfId="0" applyNumberFormat="1" applyFill="1" applyAlignment="1">
      <alignment horizontal="left"/>
    </xf>
    <xf numFmtId="0" fontId="0" fillId="2" borderId="16" xfId="0" applyFill="1" applyBorder="1" applyAlignment="1">
      <alignment horizontal="right"/>
    </xf>
    <xf numFmtId="164" fontId="0" fillId="2" borderId="17" xfId="0" applyNumberFormat="1" applyFill="1" applyBorder="1" applyAlignment="1">
      <alignment horizontal="left"/>
    </xf>
    <xf numFmtId="0" fontId="26" fillId="2" borderId="18" xfId="0" applyFont="1" applyFill="1" applyBorder="1"/>
    <xf numFmtId="0" fontId="0" fillId="2" borderId="14" xfId="0" applyFill="1" applyBorder="1" applyAlignment="1">
      <alignment horizontal="right"/>
    </xf>
    <xf numFmtId="0" fontId="26" fillId="2" borderId="15" xfId="0" applyFont="1" applyFill="1" applyBorder="1"/>
    <xf numFmtId="0" fontId="0" fillId="2" borderId="19" xfId="0" applyFill="1" applyBorder="1" applyAlignment="1">
      <alignment horizontal="right"/>
    </xf>
    <xf numFmtId="164" fontId="0" fillId="2" borderId="20" xfId="0" applyNumberFormat="1" applyFill="1" applyBorder="1" applyAlignment="1">
      <alignment horizontal="left"/>
    </xf>
    <xf numFmtId="0" fontId="26" fillId="2" borderId="12" xfId="0" applyFont="1" applyFill="1" applyBorder="1"/>
    <xf numFmtId="9" fontId="0" fillId="2" borderId="0" xfId="1" applyFont="1" applyFill="1" applyBorder="1" applyAlignment="1">
      <alignment horizontal="left"/>
    </xf>
    <xf numFmtId="9" fontId="0" fillId="2" borderId="17" xfId="1" applyFont="1" applyFill="1" applyBorder="1" applyAlignment="1">
      <alignment horizontal="left"/>
    </xf>
    <xf numFmtId="9" fontId="0" fillId="2" borderId="20" xfId="1" applyFont="1" applyFill="1" applyBorder="1" applyAlignment="1">
      <alignment horizontal="left"/>
    </xf>
    <xf numFmtId="0" fontId="3" fillId="5" borderId="2" xfId="3"/>
    <xf numFmtId="0" fontId="5" fillId="2" borderId="4" xfId="0" applyFont="1" applyFill="1" applyBorder="1"/>
    <xf numFmtId="169" fontId="5" fillId="2" borderId="4" xfId="0" applyNumberFormat="1" applyFont="1" applyFill="1" applyBorder="1"/>
    <xf numFmtId="2" fontId="5" fillId="2" borderId="4" xfId="0" applyNumberFormat="1" applyFont="1" applyFill="1" applyBorder="1"/>
    <xf numFmtId="3" fontId="14" fillId="2" borderId="8" xfId="0" applyNumberFormat="1" applyFont="1" applyFill="1" applyBorder="1"/>
    <xf numFmtId="0" fontId="5" fillId="2" borderId="4" xfId="0" applyFont="1" applyFill="1" applyBorder="1" applyAlignment="1">
      <alignment horizontal="center"/>
    </xf>
    <xf numFmtId="0" fontId="21" fillId="2" borderId="4" xfId="0" applyFont="1" applyFill="1" applyBorder="1" applyAlignment="1">
      <alignment horizontal="left" indent="2"/>
    </xf>
    <xf numFmtId="0" fontId="21" fillId="2" borderId="11" xfId="0" applyFont="1" applyFill="1" applyBorder="1" applyAlignment="1">
      <alignment horizontal="left" indent="2"/>
    </xf>
    <xf numFmtId="0" fontId="0" fillId="2" borderId="11" xfId="0" applyFill="1" applyBorder="1"/>
    <xf numFmtId="0" fontId="0" fillId="2" borderId="0" xfId="0" applyFill="1" applyAlignment="1">
      <alignment wrapText="1"/>
    </xf>
    <xf numFmtId="9" fontId="5" fillId="2" borderId="4" xfId="1" applyFont="1" applyFill="1" applyBorder="1"/>
    <xf numFmtId="0" fontId="23" fillId="2" borderId="0" xfId="0" applyFont="1" applyFill="1" applyAlignment="1">
      <alignment horizontal="left" wrapText="1"/>
    </xf>
    <xf numFmtId="3" fontId="13" fillId="2" borderId="4" xfId="0" applyNumberFormat="1" applyFont="1" applyFill="1" applyBorder="1"/>
    <xf numFmtId="0" fontId="6" fillId="2" borderId="0" xfId="0" applyFont="1" applyFill="1" applyAlignment="1">
      <alignment wrapText="1"/>
    </xf>
    <xf numFmtId="3" fontId="0" fillId="2" borderId="4" xfId="0" applyNumberFormat="1" applyFill="1" applyBorder="1"/>
    <xf numFmtId="4" fontId="5" fillId="2" borderId="0" xfId="0" applyNumberFormat="1" applyFont="1" applyFill="1"/>
    <xf numFmtId="3" fontId="0" fillId="2" borderId="0" xfId="0" applyNumberFormat="1" applyFill="1"/>
    <xf numFmtId="9" fontId="13" fillId="2" borderId="4" xfId="1" applyFont="1" applyFill="1" applyBorder="1"/>
    <xf numFmtId="2" fontId="0" fillId="2" borderId="0" xfId="0" applyNumberFormat="1" applyFill="1"/>
    <xf numFmtId="0" fontId="6" fillId="2" borderId="6" xfId="0" applyFont="1" applyFill="1" applyBorder="1" applyAlignment="1">
      <alignment horizontal="center"/>
    </xf>
    <xf numFmtId="10" fontId="12" fillId="2" borderId="0" xfId="1" applyNumberFormat="1" applyFont="1" applyFill="1" applyBorder="1"/>
    <xf numFmtId="4" fontId="13" fillId="2" borderId="0" xfId="0" applyNumberFormat="1" applyFont="1" applyFill="1"/>
    <xf numFmtId="4" fontId="12" fillId="2" borderId="0" xfId="0" applyNumberFormat="1" applyFont="1" applyFill="1"/>
    <xf numFmtId="2" fontId="14" fillId="2" borderId="0" xfId="0" applyNumberFormat="1" applyFont="1" applyFill="1"/>
    <xf numFmtId="10" fontId="12" fillId="0" borderId="0" xfId="1" applyNumberFormat="1" applyFont="1" applyFill="1" applyBorder="1"/>
    <xf numFmtId="0" fontId="0" fillId="2" borderId="4" xfId="0" applyFill="1" applyBorder="1" applyAlignment="1">
      <alignment wrapText="1"/>
    </xf>
    <xf numFmtId="0" fontId="11" fillId="2" borderId="0" xfId="0" applyFont="1" applyFill="1" applyAlignment="1">
      <alignment horizontal="left"/>
    </xf>
    <xf numFmtId="3" fontId="12" fillId="2" borderId="0" xfId="0" applyNumberFormat="1" applyFont="1" applyFill="1" applyAlignment="1">
      <alignment horizontal="right"/>
    </xf>
    <xf numFmtId="164" fontId="5" fillId="2" borderId="4" xfId="0" applyNumberFormat="1" applyFont="1" applyFill="1" applyBorder="1"/>
    <xf numFmtId="9" fontId="5" fillId="2" borderId="4" xfId="0" applyNumberFormat="1" applyFont="1" applyFill="1" applyBorder="1"/>
    <xf numFmtId="9" fontId="13" fillId="2" borderId="4" xfId="0" applyNumberFormat="1" applyFont="1" applyFill="1" applyBorder="1"/>
    <xf numFmtId="0" fontId="19" fillId="2" borderId="4" xfId="0" applyFont="1" applyFill="1" applyBorder="1" applyAlignment="1">
      <alignment vertical="center" wrapText="1"/>
    </xf>
    <xf numFmtId="164" fontId="12" fillId="2" borderId="4" xfId="0" applyNumberFormat="1" applyFont="1" applyFill="1" applyBorder="1"/>
    <xf numFmtId="171" fontId="0" fillId="2" borderId="0" xfId="7" applyNumberFormat="1" applyFont="1" applyFill="1"/>
    <xf numFmtId="10" fontId="0" fillId="2" borderId="0" xfId="0" applyNumberFormat="1" applyFill="1"/>
    <xf numFmtId="171" fontId="0" fillId="2" borderId="0" xfId="0" applyNumberFormat="1" applyFill="1"/>
    <xf numFmtId="0" fontId="5" fillId="2" borderId="0" xfId="0" applyFont="1" applyFill="1"/>
    <xf numFmtId="0" fontId="12" fillId="2" borderId="0" xfId="0" applyFont="1" applyFill="1"/>
    <xf numFmtId="0" fontId="11" fillId="2" borderId="0" xfId="0" applyFont="1" applyFill="1"/>
    <xf numFmtId="0" fontId="16" fillId="2" borderId="4" xfId="0" applyFont="1" applyFill="1" applyBorder="1"/>
    <xf numFmtId="0" fontId="6" fillId="2" borderId="4" xfId="0" applyFont="1" applyFill="1" applyBorder="1" applyAlignment="1">
      <alignment horizontal="right" indent="1"/>
    </xf>
    <xf numFmtId="0" fontId="11" fillId="2" borderId="4" xfId="0" applyFont="1" applyFill="1" applyBorder="1"/>
    <xf numFmtId="0" fontId="0" fillId="2" borderId="4" xfId="0" applyFill="1" applyBorder="1" applyAlignment="1">
      <alignment horizontal="right" indent="1"/>
    </xf>
    <xf numFmtId="4" fontId="11" fillId="2" borderId="4" xfId="0" applyNumberFormat="1" applyFont="1" applyFill="1" applyBorder="1"/>
    <xf numFmtId="3" fontId="11" fillId="2" borderId="4" xfId="0" applyNumberFormat="1" applyFont="1" applyFill="1" applyBorder="1"/>
    <xf numFmtId="3" fontId="16" fillId="2" borderId="4" xfId="0" applyNumberFormat="1" applyFont="1" applyFill="1" applyBorder="1"/>
    <xf numFmtId="164" fontId="12" fillId="2" borderId="0" xfId="0" applyNumberFormat="1" applyFont="1" applyFill="1"/>
    <xf numFmtId="164" fontId="5" fillId="2" borderId="0" xfId="0" applyNumberFormat="1" applyFont="1" applyFill="1"/>
    <xf numFmtId="9" fontId="5" fillId="2" borderId="0" xfId="0" applyNumberFormat="1" applyFont="1" applyFill="1"/>
    <xf numFmtId="9" fontId="13" fillId="2" borderId="0" xfId="0" applyNumberFormat="1" applyFont="1" applyFill="1"/>
    <xf numFmtId="0" fontId="27" fillId="2" borderId="0" xfId="0" applyFont="1" applyFill="1" applyAlignment="1">
      <alignment horizontal="right"/>
    </xf>
    <xf numFmtId="0" fontId="28" fillId="2" borderId="0" xfId="0" applyFont="1" applyFill="1" applyAlignment="1">
      <alignment horizontal="right"/>
    </xf>
    <xf numFmtId="0" fontId="28" fillId="6" borderId="22" xfId="0" applyFont="1" applyFill="1" applyBorder="1"/>
    <xf numFmtId="0" fontId="29" fillId="6" borderId="21" xfId="2" applyFont="1" applyFill="1" applyBorder="1"/>
    <xf numFmtId="0" fontId="30" fillId="6" borderId="23" xfId="0" applyFont="1" applyFill="1" applyBorder="1"/>
    <xf numFmtId="0" fontId="30" fillId="2" borderId="0" xfId="0" applyFont="1" applyFill="1"/>
    <xf numFmtId="0" fontId="27" fillId="2" borderId="0" xfId="0" applyFont="1" applyFill="1" applyAlignment="1">
      <alignment horizontal="center"/>
    </xf>
    <xf numFmtId="0" fontId="24" fillId="2" borderId="0" xfId="2" applyFont="1" applyFill="1" applyBorder="1"/>
    <xf numFmtId="0" fontId="24" fillId="2" borderId="0" xfId="2" applyFont="1" applyFill="1" applyBorder="1" applyAlignment="1">
      <alignment horizontal="left"/>
    </xf>
    <xf numFmtId="3" fontId="24" fillId="2" borderId="4" xfId="0" applyNumberFormat="1" applyFont="1" applyFill="1" applyBorder="1"/>
    <xf numFmtId="3" fontId="12" fillId="2" borderId="6" xfId="0" applyNumberFormat="1" applyFont="1" applyFill="1" applyBorder="1"/>
    <xf numFmtId="9" fontId="13" fillId="0" borderId="4" xfId="1" applyFont="1" applyFill="1" applyBorder="1"/>
    <xf numFmtId="0" fontId="31" fillId="2" borderId="0" xfId="0" applyFont="1" applyFill="1" applyAlignment="1">
      <alignment horizontal="center"/>
    </xf>
    <xf numFmtId="0" fontId="31" fillId="2" borderId="0" xfId="0" applyFont="1" applyFill="1"/>
    <xf numFmtId="0" fontId="31" fillId="2" borderId="0" xfId="0" quotePrefix="1" applyFont="1" applyFill="1" applyAlignment="1">
      <alignment horizontal="center"/>
    </xf>
    <xf numFmtId="0" fontId="32" fillId="2" borderId="0" xfId="0" applyFont="1" applyFill="1"/>
    <xf numFmtId="3" fontId="6" fillId="2" borderId="4" xfId="0" applyNumberFormat="1" applyFont="1" applyFill="1" applyBorder="1" applyAlignment="1">
      <alignment horizontal="center"/>
    </xf>
    <xf numFmtId="3" fontId="6" fillId="2" borderId="0" xfId="0" applyNumberFormat="1" applyFont="1" applyFill="1" applyAlignment="1">
      <alignment horizontal="center"/>
    </xf>
    <xf numFmtId="3" fontId="33" fillId="2" borderId="4" xfId="0" applyNumberFormat="1" applyFont="1" applyFill="1" applyBorder="1" applyAlignment="1">
      <alignment wrapText="1"/>
    </xf>
    <xf numFmtId="0" fontId="0" fillId="0" borderId="0" xfId="0" applyAlignment="1">
      <alignment horizontal="left"/>
    </xf>
    <xf numFmtId="9" fontId="5" fillId="2" borderId="4" xfId="1" applyFont="1" applyFill="1" applyBorder="1" applyAlignment="1">
      <alignment horizontal="center"/>
    </xf>
    <xf numFmtId="0" fontId="27" fillId="2" borderId="0" xfId="0" applyFont="1" applyFill="1" applyAlignment="1">
      <alignment horizontal="left"/>
    </xf>
    <xf numFmtId="0" fontId="6" fillId="2" borderId="4" xfId="0" applyFont="1" applyFill="1" applyBorder="1" applyAlignment="1">
      <alignment horizontal="left"/>
    </xf>
    <xf numFmtId="169" fontId="13" fillId="2" borderId="0" xfId="1" applyNumberFormat="1" applyFont="1" applyFill="1" applyBorder="1"/>
    <xf numFmtId="1" fontId="14" fillId="2" borderId="8" xfId="0" applyNumberFormat="1" applyFont="1" applyFill="1" applyBorder="1"/>
    <xf numFmtId="1" fontId="12" fillId="2" borderId="4" xfId="0" applyNumberFormat="1" applyFont="1" applyFill="1" applyBorder="1"/>
    <xf numFmtId="1" fontId="14" fillId="2" borderId="4" xfId="0" applyNumberFormat="1" applyFont="1" applyFill="1" applyBorder="1"/>
    <xf numFmtId="1" fontId="24" fillId="2" borderId="4" xfId="0" applyNumberFormat="1" applyFont="1" applyFill="1" applyBorder="1"/>
    <xf numFmtId="3" fontId="34" fillId="2" borderId="4" xfId="0" applyNumberFormat="1" applyFont="1" applyFill="1" applyBorder="1" applyAlignment="1">
      <alignment horizontal="center" wrapText="1"/>
    </xf>
    <xf numFmtId="0" fontId="19" fillId="2" borderId="0" xfId="0" applyFont="1" applyFill="1" applyAlignment="1">
      <alignment wrapText="1"/>
    </xf>
    <xf numFmtId="0" fontId="9" fillId="2" borderId="4" xfId="0" applyFont="1" applyFill="1" applyBorder="1" applyAlignment="1">
      <alignment wrapText="1"/>
    </xf>
    <xf numFmtId="0" fontId="0" fillId="2" borderId="4" xfId="0" applyFill="1" applyBorder="1" applyAlignment="1">
      <alignment horizontal="center"/>
    </xf>
    <xf numFmtId="0" fontId="23" fillId="0" borderId="0" xfId="0" applyFont="1"/>
    <xf numFmtId="0" fontId="35" fillId="7" borderId="4" xfId="0" applyFont="1" applyFill="1" applyBorder="1" applyAlignment="1">
      <alignment wrapText="1"/>
    </xf>
    <xf numFmtId="0" fontId="35" fillId="7" borderId="4" xfId="0" applyFont="1" applyFill="1" applyBorder="1" applyAlignment="1">
      <alignment horizontal="center" textRotation="90" wrapText="1"/>
    </xf>
    <xf numFmtId="0" fontId="36" fillId="0" borderId="0" xfId="0" applyFont="1"/>
    <xf numFmtId="0" fontId="38" fillId="0" borderId="0" xfId="0" applyFont="1" applyAlignment="1">
      <alignment vertical="center"/>
    </xf>
    <xf numFmtId="0" fontId="20" fillId="0" borderId="0" xfId="0" applyFont="1"/>
    <xf numFmtId="0" fontId="20" fillId="0" borderId="0" xfId="0" applyFont="1" applyAlignment="1">
      <alignment vertical="center"/>
    </xf>
    <xf numFmtId="0" fontId="23" fillId="2" borderId="4" xfId="0" applyFont="1" applyFill="1" applyBorder="1" applyAlignment="1">
      <alignment horizontal="center" vertical="center" wrapText="1"/>
    </xf>
    <xf numFmtId="0" fontId="42" fillId="2" borderId="4" xfId="0" applyFont="1" applyFill="1" applyBorder="1" applyAlignment="1">
      <alignment horizontal="center" vertical="center"/>
    </xf>
    <xf numFmtId="0" fontId="19" fillId="2" borderId="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42" fillId="4" borderId="4" xfId="0" applyFont="1" applyFill="1" applyBorder="1" applyAlignment="1">
      <alignment horizontal="center" vertical="center"/>
    </xf>
    <xf numFmtId="0" fontId="19" fillId="4" borderId="4" xfId="0" applyFont="1" applyFill="1" applyBorder="1" applyAlignment="1">
      <alignment horizontal="center" vertical="center" wrapText="1"/>
    </xf>
    <xf numFmtId="0" fontId="35" fillId="7" borderId="4" xfId="0" applyFont="1" applyFill="1" applyBorder="1"/>
    <xf numFmtId="0" fontId="37" fillId="4" borderId="4" xfId="0" applyFont="1" applyFill="1" applyBorder="1" applyAlignment="1">
      <alignment vertical="center"/>
    </xf>
    <xf numFmtId="0" fontId="23" fillId="4" borderId="4" xfId="0" applyFont="1" applyFill="1" applyBorder="1" applyAlignment="1">
      <alignment vertical="center" wrapText="1"/>
    </xf>
    <xf numFmtId="0" fontId="23" fillId="0" borderId="0" xfId="0" applyFont="1" applyAlignment="1">
      <alignment vertical="center"/>
    </xf>
    <xf numFmtId="0" fontId="39" fillId="0" borderId="0" xfId="0" applyFont="1" applyAlignment="1">
      <alignment horizontal="left" vertical="center"/>
    </xf>
    <xf numFmtId="0" fontId="40" fillId="0" borderId="0" xfId="0" applyFont="1" applyAlignment="1">
      <alignment vertical="center"/>
    </xf>
    <xf numFmtId="0" fontId="37" fillId="2" borderId="4" xfId="0" applyFont="1" applyFill="1" applyBorder="1" applyAlignment="1">
      <alignment vertical="center"/>
    </xf>
    <xf numFmtId="0" fontId="23" fillId="2" borderId="4" xfId="0" applyFont="1" applyFill="1" applyBorder="1" applyAlignment="1">
      <alignment vertical="center" wrapText="1"/>
    </xf>
    <xf numFmtId="0" fontId="41" fillId="4" borderId="4" xfId="0" applyFont="1" applyFill="1" applyBorder="1" applyAlignment="1">
      <alignment vertical="center"/>
    </xf>
    <xf numFmtId="0" fontId="19" fillId="4" borderId="4" xfId="0" applyFont="1" applyFill="1" applyBorder="1" applyAlignment="1">
      <alignment vertical="center" wrapText="1"/>
    </xf>
    <xf numFmtId="0" fontId="23" fillId="2" borderId="0" xfId="0" applyFont="1" applyFill="1" applyAlignment="1">
      <alignment vertical="center"/>
    </xf>
    <xf numFmtId="0" fontId="19" fillId="2" borderId="5" xfId="2" applyFont="1" applyFill="1" applyBorder="1" applyAlignment="1">
      <alignment horizontal="center"/>
    </xf>
    <xf numFmtId="0" fontId="40" fillId="2" borderId="5" xfId="2" applyFont="1" applyFill="1" applyBorder="1" applyAlignment="1">
      <alignment horizontal="center"/>
    </xf>
    <xf numFmtId="0" fontId="43" fillId="2" borderId="5" xfId="2" applyFont="1" applyFill="1" applyBorder="1" applyAlignment="1">
      <alignment horizontal="center"/>
    </xf>
    <xf numFmtId="0" fontId="44" fillId="2" borderId="5" xfId="2" applyFont="1" applyFill="1" applyBorder="1" applyAlignment="1">
      <alignment horizontal="center"/>
    </xf>
    <xf numFmtId="0" fontId="45" fillId="2" borderId="5" xfId="2" applyFont="1" applyFill="1" applyBorder="1" applyAlignment="1">
      <alignment horizontal="center"/>
    </xf>
    <xf numFmtId="0" fontId="28" fillId="6" borderId="22" xfId="0" applyFont="1" applyFill="1" applyBorder="1" applyAlignment="1">
      <alignment horizontal="right"/>
    </xf>
    <xf numFmtId="0" fontId="28" fillId="6" borderId="22" xfId="0" applyFont="1" applyFill="1" applyBorder="1" applyAlignment="1">
      <alignment horizontal="left"/>
    </xf>
    <xf numFmtId="0" fontId="29" fillId="6" borderId="23" xfId="2" applyFont="1" applyFill="1" applyBorder="1"/>
    <xf numFmtId="0" fontId="28" fillId="6" borderId="21" xfId="0" applyFont="1" applyFill="1" applyBorder="1" applyAlignment="1">
      <alignment horizontal="left"/>
    </xf>
    <xf numFmtId="0" fontId="29" fillId="6" borderId="23" xfId="2" applyFont="1" applyFill="1" applyBorder="1" applyAlignment="1">
      <alignment horizontal="left"/>
    </xf>
    <xf numFmtId="0" fontId="28" fillId="6" borderId="21" xfId="0" applyFont="1" applyFill="1" applyBorder="1" applyAlignment="1">
      <alignment horizontal="right"/>
    </xf>
    <xf numFmtId="0" fontId="16" fillId="2" borderId="4" xfId="0" applyFont="1" applyFill="1" applyBorder="1" applyAlignment="1">
      <alignment wrapText="1"/>
    </xf>
    <xf numFmtId="0" fontId="37" fillId="4" borderId="4" xfId="0" applyFont="1" applyFill="1" applyBorder="1" applyAlignment="1">
      <alignment horizontal="center" vertical="center" wrapText="1"/>
    </xf>
    <xf numFmtId="0" fontId="23" fillId="4" borderId="6" xfId="0" quotePrefix="1" applyFont="1" applyFill="1" applyBorder="1" applyAlignment="1">
      <alignment horizontal="left" vertical="center" wrapText="1"/>
    </xf>
    <xf numFmtId="0" fontId="23" fillId="4" borderId="25" xfId="0" applyFont="1" applyFill="1" applyBorder="1" applyAlignment="1">
      <alignment horizontal="left" vertical="center" wrapText="1"/>
    </xf>
    <xf numFmtId="0" fontId="23" fillId="4" borderId="24" xfId="0" applyFont="1" applyFill="1" applyBorder="1" applyAlignment="1">
      <alignment horizontal="left" vertical="center" wrapText="1"/>
    </xf>
    <xf numFmtId="0" fontId="37" fillId="2" borderId="6"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23" fillId="2" borderId="6" xfId="0" quotePrefix="1" applyFont="1" applyFill="1" applyBorder="1" applyAlignment="1">
      <alignment horizontal="left" vertical="center" wrapText="1"/>
    </xf>
    <xf numFmtId="0" fontId="23" fillId="2" borderId="24" xfId="0" applyFont="1" applyFill="1" applyBorder="1" applyAlignment="1">
      <alignment horizontal="left" vertical="center" wrapText="1"/>
    </xf>
    <xf numFmtId="0" fontId="23" fillId="4" borderId="4" xfId="0" quotePrefix="1" applyFont="1" applyFill="1" applyBorder="1" applyAlignment="1">
      <alignment horizontal="left" vertical="center" wrapText="1"/>
    </xf>
    <xf numFmtId="0" fontId="23" fillId="4" borderId="4" xfId="0" applyFont="1" applyFill="1" applyBorder="1" applyAlignment="1">
      <alignment horizontal="left" vertical="center" wrapText="1"/>
    </xf>
    <xf numFmtId="0" fontId="41" fillId="4" borderId="4" xfId="0" applyFont="1" applyFill="1" applyBorder="1" applyAlignment="1">
      <alignment horizontal="center" vertical="center" wrapText="1"/>
    </xf>
    <xf numFmtId="0" fontId="23" fillId="2" borderId="4" xfId="0" applyFont="1" applyFill="1" applyBorder="1" applyAlignment="1">
      <alignment horizontal="left" wrapText="1"/>
    </xf>
    <xf numFmtId="0" fontId="0" fillId="2" borderId="8" xfId="0" applyFill="1" applyBorder="1" applyAlignment="1">
      <alignment horizontal="center"/>
    </xf>
    <xf numFmtId="0" fontId="6" fillId="2" borderId="4" xfId="0" applyFont="1" applyFill="1" applyBorder="1" applyAlignment="1">
      <alignment horizontal="left" wrapText="1"/>
    </xf>
    <xf numFmtId="0" fontId="19" fillId="2" borderId="4" xfId="0" applyFont="1" applyFill="1" applyBorder="1" applyAlignment="1">
      <alignment horizontal="left" wrapText="1"/>
    </xf>
    <xf numFmtId="0" fontId="19" fillId="2" borderId="16" xfId="0" applyFont="1" applyFill="1" applyBorder="1" applyAlignment="1">
      <alignment horizontal="left" wrapText="1"/>
    </xf>
    <xf numFmtId="0" fontId="19" fillId="2" borderId="17" xfId="0" applyFont="1" applyFill="1" applyBorder="1" applyAlignment="1">
      <alignment horizontal="left" wrapText="1"/>
    </xf>
    <xf numFmtId="0" fontId="19" fillId="2" borderId="18" xfId="0" applyFont="1" applyFill="1" applyBorder="1" applyAlignment="1">
      <alignment horizontal="left" wrapText="1"/>
    </xf>
    <xf numFmtId="0" fontId="19" fillId="2" borderId="14" xfId="0" applyFont="1" applyFill="1" applyBorder="1" applyAlignment="1">
      <alignment horizontal="left" wrapText="1"/>
    </xf>
    <xf numFmtId="0" fontId="19" fillId="2" borderId="0" xfId="0" applyFont="1" applyFill="1" applyAlignment="1">
      <alignment horizontal="left" wrapText="1"/>
    </xf>
    <xf numFmtId="0" fontId="19" fillId="2" borderId="15" xfId="0" applyFont="1" applyFill="1" applyBorder="1" applyAlignment="1">
      <alignment horizontal="left" wrapText="1"/>
    </xf>
    <xf numFmtId="0" fontId="19" fillId="2" borderId="19" xfId="0" applyFont="1" applyFill="1" applyBorder="1" applyAlignment="1">
      <alignment horizontal="left" wrapText="1"/>
    </xf>
    <xf numFmtId="0" fontId="19" fillId="2" borderId="20" xfId="0" applyFont="1" applyFill="1" applyBorder="1" applyAlignment="1">
      <alignment horizontal="left" wrapText="1"/>
    </xf>
    <xf numFmtId="0" fontId="19" fillId="2" borderId="12" xfId="0" applyFont="1" applyFill="1" applyBorder="1" applyAlignment="1">
      <alignment horizontal="left" wrapText="1"/>
    </xf>
    <xf numFmtId="0" fontId="19" fillId="2" borderId="9" xfId="0" applyFont="1" applyFill="1" applyBorder="1" applyAlignment="1">
      <alignment horizontal="left" wrapText="1"/>
    </xf>
    <xf numFmtId="0" fontId="19" fillId="2" borderId="10" xfId="0" applyFont="1" applyFill="1" applyBorder="1" applyAlignment="1">
      <alignment horizontal="left" wrapText="1"/>
    </xf>
    <xf numFmtId="0" fontId="19" fillId="2" borderId="11" xfId="0" applyFont="1" applyFill="1" applyBorder="1" applyAlignment="1">
      <alignment horizontal="left" wrapText="1"/>
    </xf>
    <xf numFmtId="0" fontId="11" fillId="2" borderId="4" xfId="0" applyFont="1" applyFill="1" applyBorder="1" applyAlignment="1">
      <alignment horizontal="center" vertical="center" wrapText="1"/>
    </xf>
    <xf numFmtId="0" fontId="6" fillId="2" borderId="9" xfId="0" applyFont="1" applyFill="1" applyBorder="1" applyAlignment="1">
      <alignment horizontal="left" wrapText="1"/>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11" fillId="2" borderId="9" xfId="0" quotePrefix="1"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9" fillId="2" borderId="4" xfId="0" applyFont="1" applyFill="1" applyBorder="1" applyAlignment="1">
      <alignment horizontal="center" wrapText="1"/>
    </xf>
    <xf numFmtId="0" fontId="6" fillId="2" borderId="9" xfId="0" applyFont="1" applyFill="1" applyBorder="1" applyAlignment="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xf numFmtId="0" fontId="23" fillId="2" borderId="8" xfId="0" applyFont="1" applyFill="1" applyBorder="1" applyAlignment="1">
      <alignment horizontal="center" wrapText="1"/>
    </xf>
    <xf numFmtId="0" fontId="0" fillId="2" borderId="9" xfId="0"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23" fillId="2" borderId="8" xfId="0" applyFont="1" applyFill="1" applyBorder="1" applyAlignment="1">
      <alignment horizontal="left" wrapText="1"/>
    </xf>
    <xf numFmtId="0" fontId="6" fillId="2" borderId="4" xfId="0" applyFont="1" applyFill="1" applyBorder="1" applyAlignment="1">
      <alignment horizontal="center" wrapText="1"/>
    </xf>
    <xf numFmtId="0" fontId="6" fillId="3" borderId="4" xfId="0" applyFont="1" applyFill="1" applyBorder="1" applyAlignment="1">
      <alignment horizontal="center"/>
    </xf>
    <xf numFmtId="0" fontId="23" fillId="2" borderId="8" xfId="0" applyFont="1" applyFill="1" applyBorder="1" applyAlignment="1">
      <alignment horizontal="left"/>
    </xf>
    <xf numFmtId="0" fontId="11" fillId="2" borderId="4" xfId="0" quotePrefix="1" applyFont="1" applyFill="1" applyBorder="1" applyAlignment="1">
      <alignment horizontal="left" vertical="center" wrapText="1"/>
    </xf>
    <xf numFmtId="0" fontId="6" fillId="2" borderId="4" xfId="0" applyFont="1" applyFill="1" applyBorder="1" applyAlignment="1">
      <alignment horizontal="left"/>
    </xf>
    <xf numFmtId="0" fontId="6" fillId="4" borderId="4" xfId="0" applyFont="1" applyFill="1" applyBorder="1" applyAlignment="1">
      <alignment horizontal="left"/>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25" fillId="3" borderId="9" xfId="0" applyFont="1" applyFill="1" applyBorder="1" applyAlignment="1">
      <alignment horizontal="center"/>
    </xf>
    <xf numFmtId="0" fontId="25" fillId="3" borderId="10" xfId="0" applyFont="1" applyFill="1" applyBorder="1" applyAlignment="1">
      <alignment horizontal="center"/>
    </xf>
    <xf numFmtId="0" fontId="25" fillId="3" borderId="11" xfId="0" applyFont="1" applyFill="1" applyBorder="1" applyAlignment="1">
      <alignment horizontal="center"/>
    </xf>
  </cellXfs>
  <cellStyles count="8">
    <cellStyle name="Comma" xfId="6" builtinId="3"/>
    <cellStyle name="Currency" xfId="7" builtinId="4"/>
    <cellStyle name="Heading 1" xfId="2" builtinId="16"/>
    <cellStyle name="Heading 2" xfId="3" builtinId="17" customBuiltin="1"/>
    <cellStyle name="Heading 3" xfId="4" builtinId="18"/>
    <cellStyle name="Heading 4" xfId="5" builtinId="19"/>
    <cellStyle name="Normal" xfId="0" builtinId="0"/>
    <cellStyle name="Per cent" xfId="1" builtinId="5"/>
  </cellStyles>
  <dxfs count="18">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ill>
        <patternFill>
          <bgColor theme="2" tint="-0.749961851863155"/>
        </patternFill>
      </fill>
    </dxf>
    <dxf>
      <fill>
        <patternFill>
          <bgColor theme="2" tint="-0.749961851863155"/>
        </patternFill>
      </fill>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
      <font>
        <b/>
        <i val="0"/>
        <color theme="0"/>
      </font>
      <fill>
        <patternFill>
          <bgColor rgb="FFEE0000"/>
        </patternFill>
      </fill>
      <border>
        <left style="thin">
          <color rgb="FFC00000"/>
        </left>
        <right style="thin">
          <color rgb="FFC00000"/>
        </right>
        <top style="thin">
          <color rgb="FFC00000"/>
        </top>
        <bottom style="thin">
          <color rgb="FFC00000"/>
        </bottom>
      </border>
    </dxf>
    <dxf>
      <font>
        <b/>
        <i val="0"/>
        <color theme="0"/>
      </font>
      <fill>
        <patternFill>
          <bgColor rgb="FF00B050"/>
        </patternFill>
      </fill>
      <border>
        <left style="thin">
          <color theme="6" tint="-0.499984740745262"/>
        </left>
        <right style="thin">
          <color theme="6" tint="-0.499984740745262"/>
        </right>
        <top style="thin">
          <color theme="6" tint="-0.499984740745262"/>
        </top>
        <bottom style="thin">
          <color theme="6" tint="-0.499984740745262"/>
        </bottom>
      </border>
    </dxf>
  </dxfs>
  <tableStyles count="0" defaultTableStyle="TableStyleMedium2" defaultPivotStyle="PivotStyleLight16"/>
  <colors>
    <mruColors>
      <color rgb="FFDAE9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0EAF2-9420-4B09-A9AC-6531D36280E0}">
  <dimension ref="A1:S24"/>
  <sheetViews>
    <sheetView tabSelected="1" workbookViewId="0"/>
  </sheetViews>
  <sheetFormatPr defaultColWidth="8.85546875" defaultRowHeight="13.5" x14ac:dyDescent="0.25"/>
  <cols>
    <col min="1" max="1" width="10.85546875" style="176" customWidth="1"/>
    <col min="2" max="2" width="6.5703125" style="176" customWidth="1"/>
    <col min="3" max="3" width="82.85546875" style="176" customWidth="1"/>
    <col min="4" max="4" width="9.140625" style="176" customWidth="1"/>
    <col min="5" max="9" width="5.85546875" style="176" customWidth="1"/>
    <col min="10" max="10" width="9.140625" style="176" customWidth="1"/>
    <col min="11" max="14" width="5.85546875" style="176" customWidth="1"/>
    <col min="15" max="15" width="9.140625" style="176" customWidth="1"/>
    <col min="16" max="16" width="40.85546875" style="176" customWidth="1"/>
    <col min="17" max="16384" width="8.85546875" style="176"/>
  </cols>
  <sheetData>
    <row r="1" spans="1:19" s="1" customFormat="1" ht="20.25" thickBot="1" x14ac:dyDescent="0.35">
      <c r="A1" s="1" t="s">
        <v>510</v>
      </c>
    </row>
    <row r="2" spans="1:19" ht="14.25" thickTop="1" x14ac:dyDescent="0.25">
      <c r="A2" s="81"/>
      <c r="B2" s="81"/>
      <c r="C2" s="81"/>
      <c r="D2" s="81"/>
      <c r="E2" s="81"/>
      <c r="F2" s="81"/>
      <c r="G2" s="81"/>
      <c r="H2" s="81"/>
      <c r="I2" s="81"/>
      <c r="J2" s="81"/>
      <c r="K2" s="81"/>
      <c r="L2" s="81"/>
      <c r="M2" s="81"/>
      <c r="N2" s="81"/>
      <c r="O2" s="81"/>
      <c r="P2" s="81"/>
      <c r="Q2" s="81"/>
    </row>
    <row r="3" spans="1:19" ht="144.75" x14ac:dyDescent="0.25">
      <c r="A3" s="177" t="s">
        <v>504</v>
      </c>
      <c r="B3" s="189" t="s">
        <v>503</v>
      </c>
      <c r="C3" s="177" t="s">
        <v>32</v>
      </c>
      <c r="D3" s="178" t="s">
        <v>480</v>
      </c>
      <c r="E3" s="178" t="s">
        <v>481</v>
      </c>
      <c r="F3" s="178" t="s">
        <v>482</v>
      </c>
      <c r="G3" s="178" t="s">
        <v>483</v>
      </c>
      <c r="H3" s="178" t="s">
        <v>484</v>
      </c>
      <c r="I3" s="178" t="s">
        <v>502</v>
      </c>
      <c r="J3" s="178" t="s">
        <v>485</v>
      </c>
      <c r="K3" s="178" t="s">
        <v>486</v>
      </c>
      <c r="L3" s="178" t="s">
        <v>501</v>
      </c>
      <c r="M3" s="178" t="s">
        <v>487</v>
      </c>
      <c r="N3" s="178" t="s">
        <v>488</v>
      </c>
      <c r="O3" s="178" t="s">
        <v>489</v>
      </c>
      <c r="P3" s="177" t="s">
        <v>490</v>
      </c>
      <c r="Q3" s="81"/>
      <c r="R3" s="179"/>
    </row>
    <row r="4" spans="1:19" s="192" customFormat="1" ht="27" customHeight="1" x14ac:dyDescent="0.25">
      <c r="A4" s="212" t="s">
        <v>498</v>
      </c>
      <c r="B4" s="190" t="s">
        <v>14</v>
      </c>
      <c r="C4" s="191" t="s">
        <v>15</v>
      </c>
      <c r="D4" s="186" t="s">
        <v>491</v>
      </c>
      <c r="E4" s="187" t="s">
        <v>492</v>
      </c>
      <c r="F4" s="187" t="s">
        <v>493</v>
      </c>
      <c r="G4" s="187" t="s">
        <v>493</v>
      </c>
      <c r="H4" s="187" t="s">
        <v>493</v>
      </c>
      <c r="I4" s="187" t="s">
        <v>493</v>
      </c>
      <c r="J4" s="187" t="s">
        <v>493</v>
      </c>
      <c r="K4" s="187" t="s">
        <v>493</v>
      </c>
      <c r="L4" s="187" t="s">
        <v>493</v>
      </c>
      <c r="M4" s="187" t="s">
        <v>493</v>
      </c>
      <c r="N4" s="187" t="s">
        <v>493</v>
      </c>
      <c r="O4" s="188" t="s">
        <v>494</v>
      </c>
      <c r="P4" s="213" t="s">
        <v>507</v>
      </c>
      <c r="Q4" s="199"/>
    </row>
    <row r="5" spans="1:19" s="192" customFormat="1" ht="27" customHeight="1" x14ac:dyDescent="0.25">
      <c r="A5" s="212"/>
      <c r="B5" s="190" t="s">
        <v>16</v>
      </c>
      <c r="C5" s="191" t="s">
        <v>17</v>
      </c>
      <c r="D5" s="186" t="s">
        <v>491</v>
      </c>
      <c r="E5" s="187" t="s">
        <v>492</v>
      </c>
      <c r="F5" s="187" t="s">
        <v>493</v>
      </c>
      <c r="G5" s="187" t="s">
        <v>492</v>
      </c>
      <c r="H5" s="187" t="s">
        <v>493</v>
      </c>
      <c r="I5" s="187" t="s">
        <v>493</v>
      </c>
      <c r="J5" s="187" t="s">
        <v>493</v>
      </c>
      <c r="K5" s="187" t="s">
        <v>493</v>
      </c>
      <c r="L5" s="187" t="s">
        <v>493</v>
      </c>
      <c r="M5" s="187" t="s">
        <v>493</v>
      </c>
      <c r="N5" s="187" t="s">
        <v>493</v>
      </c>
      <c r="O5" s="188" t="s">
        <v>494</v>
      </c>
      <c r="P5" s="214"/>
      <c r="Q5" s="199"/>
      <c r="S5" s="180"/>
    </row>
    <row r="6" spans="1:19" s="192" customFormat="1" ht="27" customHeight="1" x14ac:dyDescent="0.25">
      <c r="A6" s="212"/>
      <c r="B6" s="190" t="s">
        <v>18</v>
      </c>
      <c r="C6" s="191" t="s">
        <v>19</v>
      </c>
      <c r="D6" s="186" t="s">
        <v>491</v>
      </c>
      <c r="E6" s="187" t="s">
        <v>492</v>
      </c>
      <c r="F6" s="187" t="s">
        <v>493</v>
      </c>
      <c r="G6" s="187" t="s">
        <v>492</v>
      </c>
      <c r="H6" s="187" t="s">
        <v>493</v>
      </c>
      <c r="I6" s="187" t="s">
        <v>492</v>
      </c>
      <c r="J6" s="187" t="s">
        <v>493</v>
      </c>
      <c r="K6" s="187" t="s">
        <v>493</v>
      </c>
      <c r="L6" s="187" t="s">
        <v>493</v>
      </c>
      <c r="M6" s="187" t="s">
        <v>493</v>
      </c>
      <c r="N6" s="187" t="s">
        <v>493</v>
      </c>
      <c r="O6" s="188" t="s">
        <v>494</v>
      </c>
      <c r="P6" s="214"/>
      <c r="Q6" s="199"/>
      <c r="S6" s="193"/>
    </row>
    <row r="7" spans="1:19" s="192" customFormat="1" ht="27" customHeight="1" x14ac:dyDescent="0.25">
      <c r="A7" s="212"/>
      <c r="B7" s="190" t="s">
        <v>20</v>
      </c>
      <c r="C7" s="191" t="s">
        <v>21</v>
      </c>
      <c r="D7" s="186" t="s">
        <v>491</v>
      </c>
      <c r="E7" s="187" t="s">
        <v>493</v>
      </c>
      <c r="F7" s="187" t="s">
        <v>493</v>
      </c>
      <c r="G7" s="187" t="s">
        <v>493</v>
      </c>
      <c r="H7" s="187" t="s">
        <v>493</v>
      </c>
      <c r="I7" s="187" t="s">
        <v>492</v>
      </c>
      <c r="J7" s="187" t="s">
        <v>493</v>
      </c>
      <c r="K7" s="187" t="s">
        <v>493</v>
      </c>
      <c r="L7" s="187" t="s">
        <v>493</v>
      </c>
      <c r="M7" s="187" t="s">
        <v>493</v>
      </c>
      <c r="N7" s="187" t="s">
        <v>493</v>
      </c>
      <c r="O7" s="188" t="s">
        <v>494</v>
      </c>
      <c r="P7" s="214"/>
      <c r="Q7" s="199"/>
      <c r="S7" s="193"/>
    </row>
    <row r="8" spans="1:19" s="192" customFormat="1" ht="27" customHeight="1" x14ac:dyDescent="0.25">
      <c r="A8" s="212"/>
      <c r="B8" s="190" t="s">
        <v>22</v>
      </c>
      <c r="C8" s="191" t="s">
        <v>23</v>
      </c>
      <c r="D8" s="186" t="s">
        <v>495</v>
      </c>
      <c r="E8" s="187" t="s">
        <v>493</v>
      </c>
      <c r="F8" s="187" t="s">
        <v>493</v>
      </c>
      <c r="G8" s="187" t="s">
        <v>493</v>
      </c>
      <c r="H8" s="187" t="s">
        <v>493</v>
      </c>
      <c r="I8" s="187" t="s">
        <v>492</v>
      </c>
      <c r="J8" s="187" t="s">
        <v>493</v>
      </c>
      <c r="K8" s="187" t="s">
        <v>493</v>
      </c>
      <c r="L8" s="187" t="s">
        <v>493</v>
      </c>
      <c r="M8" s="187" t="s">
        <v>493</v>
      </c>
      <c r="N8" s="187" t="s">
        <v>493</v>
      </c>
      <c r="O8" s="188" t="s">
        <v>496</v>
      </c>
      <c r="P8" s="214"/>
      <c r="Q8" s="199"/>
      <c r="R8" s="194"/>
    </row>
    <row r="9" spans="1:19" s="192" customFormat="1" ht="27" customHeight="1" x14ac:dyDescent="0.25">
      <c r="A9" s="212"/>
      <c r="B9" s="190" t="s">
        <v>24</v>
      </c>
      <c r="C9" s="191" t="s">
        <v>25</v>
      </c>
      <c r="D9" s="186" t="s">
        <v>495</v>
      </c>
      <c r="E9" s="187" t="s">
        <v>493</v>
      </c>
      <c r="F9" s="187" t="s">
        <v>493</v>
      </c>
      <c r="G9" s="187" t="s">
        <v>493</v>
      </c>
      <c r="H9" s="187" t="s">
        <v>493</v>
      </c>
      <c r="I9" s="187" t="s">
        <v>492</v>
      </c>
      <c r="J9" s="187" t="s">
        <v>493</v>
      </c>
      <c r="K9" s="187" t="s">
        <v>492</v>
      </c>
      <c r="L9" s="187" t="s">
        <v>493</v>
      </c>
      <c r="M9" s="187" t="s">
        <v>493</v>
      </c>
      <c r="N9" s="187" t="s">
        <v>493</v>
      </c>
      <c r="O9" s="188" t="s">
        <v>496</v>
      </c>
      <c r="P9" s="214"/>
      <c r="Q9" s="199"/>
      <c r="R9" s="194"/>
    </row>
    <row r="10" spans="1:19" s="192" customFormat="1" ht="27" customHeight="1" x14ac:dyDescent="0.25">
      <c r="A10" s="212"/>
      <c r="B10" s="190" t="s">
        <v>26</v>
      </c>
      <c r="C10" s="191" t="s">
        <v>27</v>
      </c>
      <c r="D10" s="186" t="s">
        <v>495</v>
      </c>
      <c r="E10" s="187" t="s">
        <v>493</v>
      </c>
      <c r="F10" s="187" t="s">
        <v>493</v>
      </c>
      <c r="G10" s="187" t="s">
        <v>493</v>
      </c>
      <c r="H10" s="187" t="s">
        <v>493</v>
      </c>
      <c r="I10" s="187" t="s">
        <v>492</v>
      </c>
      <c r="J10" s="187" t="s">
        <v>493</v>
      </c>
      <c r="K10" s="187" t="s">
        <v>493</v>
      </c>
      <c r="L10" s="187" t="s">
        <v>492</v>
      </c>
      <c r="M10" s="187" t="s">
        <v>493</v>
      </c>
      <c r="N10" s="187" t="s">
        <v>493</v>
      </c>
      <c r="O10" s="188" t="s">
        <v>496</v>
      </c>
      <c r="P10" s="215"/>
      <c r="Q10" s="199"/>
      <c r="R10" s="194"/>
    </row>
    <row r="11" spans="1:19" s="192" customFormat="1" ht="27" customHeight="1" x14ac:dyDescent="0.25">
      <c r="A11" s="216" t="s">
        <v>500</v>
      </c>
      <c r="B11" s="195" t="s">
        <v>184</v>
      </c>
      <c r="C11" s="196" t="s">
        <v>185</v>
      </c>
      <c r="D11" s="183" t="s">
        <v>497</v>
      </c>
      <c r="E11" s="184" t="s">
        <v>493</v>
      </c>
      <c r="F11" s="184" t="s">
        <v>493</v>
      </c>
      <c r="G11" s="184" t="s">
        <v>493</v>
      </c>
      <c r="H11" s="184" t="s">
        <v>493</v>
      </c>
      <c r="I11" s="184" t="s">
        <v>492</v>
      </c>
      <c r="J11" s="185" t="s">
        <v>506</v>
      </c>
      <c r="K11" s="184" t="s">
        <v>493</v>
      </c>
      <c r="L11" s="184" t="s">
        <v>493</v>
      </c>
      <c r="M11" s="184" t="s">
        <v>493</v>
      </c>
      <c r="N11" s="184" t="s">
        <v>493</v>
      </c>
      <c r="O11" s="183" t="s">
        <v>496</v>
      </c>
      <c r="P11" s="218" t="s">
        <v>508</v>
      </c>
      <c r="Q11" s="199"/>
      <c r="S11" s="180"/>
    </row>
    <row r="12" spans="1:19" s="192" customFormat="1" ht="27" customHeight="1" x14ac:dyDescent="0.25">
      <c r="A12" s="217"/>
      <c r="B12" s="195" t="s">
        <v>186</v>
      </c>
      <c r="C12" s="196" t="s">
        <v>187</v>
      </c>
      <c r="D12" s="183" t="s">
        <v>497</v>
      </c>
      <c r="E12" s="184" t="s">
        <v>493</v>
      </c>
      <c r="F12" s="184" t="s">
        <v>492</v>
      </c>
      <c r="G12" s="184" t="s">
        <v>493</v>
      </c>
      <c r="H12" s="184" t="s">
        <v>493</v>
      </c>
      <c r="I12" s="184" t="s">
        <v>492</v>
      </c>
      <c r="J12" s="185" t="s">
        <v>506</v>
      </c>
      <c r="K12" s="184" t="s">
        <v>493</v>
      </c>
      <c r="L12" s="184" t="s">
        <v>493</v>
      </c>
      <c r="M12" s="184" t="s">
        <v>493</v>
      </c>
      <c r="N12" s="184" t="s">
        <v>493</v>
      </c>
      <c r="O12" s="183" t="s">
        <v>496</v>
      </c>
      <c r="P12" s="219"/>
      <c r="Q12" s="199"/>
      <c r="S12" s="180"/>
    </row>
    <row r="13" spans="1:19" s="192" customFormat="1" ht="27" customHeight="1" x14ac:dyDescent="0.25">
      <c r="A13" s="222" t="s">
        <v>499</v>
      </c>
      <c r="B13" s="197" t="s">
        <v>236</v>
      </c>
      <c r="C13" s="198" t="s">
        <v>237</v>
      </c>
      <c r="D13" s="186" t="s">
        <v>491</v>
      </c>
      <c r="E13" s="187" t="s">
        <v>493</v>
      </c>
      <c r="F13" s="187" t="s">
        <v>493</v>
      </c>
      <c r="G13" s="187" t="s">
        <v>493</v>
      </c>
      <c r="H13" s="187" t="s">
        <v>493</v>
      </c>
      <c r="I13" s="187" t="s">
        <v>492</v>
      </c>
      <c r="J13" s="187" t="s">
        <v>493</v>
      </c>
      <c r="K13" s="187" t="s">
        <v>493</v>
      </c>
      <c r="L13" s="187" t="s">
        <v>493</v>
      </c>
      <c r="M13" s="187" t="s">
        <v>493</v>
      </c>
      <c r="N13" s="187" t="s">
        <v>493</v>
      </c>
      <c r="O13" s="188" t="s">
        <v>496</v>
      </c>
      <c r="P13" s="220" t="s">
        <v>509</v>
      </c>
      <c r="Q13" s="199"/>
      <c r="R13" s="194"/>
    </row>
    <row r="14" spans="1:19" s="192" customFormat="1" ht="27" customHeight="1" x14ac:dyDescent="0.25">
      <c r="A14" s="222"/>
      <c r="B14" s="197" t="s">
        <v>238</v>
      </c>
      <c r="C14" s="198" t="s">
        <v>505</v>
      </c>
      <c r="D14" s="186" t="s">
        <v>491</v>
      </c>
      <c r="E14" s="187" t="s">
        <v>493</v>
      </c>
      <c r="F14" s="187" t="s">
        <v>493</v>
      </c>
      <c r="G14" s="187" t="s">
        <v>493</v>
      </c>
      <c r="H14" s="187" t="s">
        <v>493</v>
      </c>
      <c r="I14" s="187" t="s">
        <v>492</v>
      </c>
      <c r="J14" s="187" t="s">
        <v>493</v>
      </c>
      <c r="K14" s="187" t="s">
        <v>493</v>
      </c>
      <c r="L14" s="187" t="s">
        <v>493</v>
      </c>
      <c r="M14" s="187" t="s">
        <v>492</v>
      </c>
      <c r="N14" s="187" t="s">
        <v>493</v>
      </c>
      <c r="O14" s="188" t="s">
        <v>496</v>
      </c>
      <c r="P14" s="221"/>
      <c r="Q14" s="199"/>
      <c r="R14" s="194"/>
      <c r="S14" s="180"/>
    </row>
    <row r="15" spans="1:19" s="192" customFormat="1" ht="27" customHeight="1" x14ac:dyDescent="0.25">
      <c r="A15" s="222"/>
      <c r="B15" s="197" t="s">
        <v>240</v>
      </c>
      <c r="C15" s="198" t="s">
        <v>241</v>
      </c>
      <c r="D15" s="186" t="s">
        <v>491</v>
      </c>
      <c r="E15" s="187" t="s">
        <v>493</v>
      </c>
      <c r="F15" s="187" t="s">
        <v>493</v>
      </c>
      <c r="G15" s="187" t="s">
        <v>493</v>
      </c>
      <c r="H15" s="187" t="s">
        <v>493</v>
      </c>
      <c r="I15" s="187" t="s">
        <v>492</v>
      </c>
      <c r="J15" s="187" t="s">
        <v>493</v>
      </c>
      <c r="K15" s="187" t="s">
        <v>493</v>
      </c>
      <c r="L15" s="187" t="s">
        <v>493</v>
      </c>
      <c r="M15" s="187" t="s">
        <v>493</v>
      </c>
      <c r="N15" s="187" t="s">
        <v>492</v>
      </c>
      <c r="O15" s="188" t="s">
        <v>496</v>
      </c>
      <c r="P15" s="221"/>
      <c r="Q15" s="199"/>
      <c r="R15" s="194"/>
      <c r="S15" s="193"/>
    </row>
    <row r="16" spans="1:19" s="192" customFormat="1" ht="27" customHeight="1" x14ac:dyDescent="0.25">
      <c r="A16" s="222"/>
      <c r="B16" s="197" t="s">
        <v>242</v>
      </c>
      <c r="C16" s="198" t="s">
        <v>243</v>
      </c>
      <c r="D16" s="186" t="s">
        <v>491</v>
      </c>
      <c r="E16" s="187" t="s">
        <v>493</v>
      </c>
      <c r="F16" s="187" t="s">
        <v>493</v>
      </c>
      <c r="G16" s="187" t="s">
        <v>493</v>
      </c>
      <c r="H16" s="187" t="s">
        <v>493</v>
      </c>
      <c r="I16" s="187" t="s">
        <v>492</v>
      </c>
      <c r="J16" s="187" t="s">
        <v>493</v>
      </c>
      <c r="K16" s="187" t="s">
        <v>493</v>
      </c>
      <c r="L16" s="187" t="s">
        <v>493</v>
      </c>
      <c r="M16" s="187" t="s">
        <v>493</v>
      </c>
      <c r="N16" s="187" t="s">
        <v>492</v>
      </c>
      <c r="O16" s="188" t="s">
        <v>496</v>
      </c>
      <c r="P16" s="221"/>
      <c r="Q16" s="199"/>
      <c r="R16" s="194"/>
      <c r="S16" s="193"/>
    </row>
    <row r="17" spans="1:17" x14ac:dyDescent="0.25">
      <c r="A17" s="81"/>
      <c r="B17" s="81"/>
      <c r="C17" s="81"/>
      <c r="D17" s="81"/>
      <c r="E17" s="81"/>
      <c r="F17" s="81"/>
      <c r="G17" s="81"/>
      <c r="H17" s="81"/>
      <c r="I17" s="81"/>
      <c r="J17" s="81"/>
      <c r="K17" s="81"/>
      <c r="L17" s="81"/>
      <c r="M17" s="81"/>
      <c r="N17" s="81"/>
      <c r="O17" s="81"/>
      <c r="P17" s="81"/>
      <c r="Q17" s="81"/>
    </row>
    <row r="18" spans="1:17" ht="15" x14ac:dyDescent="0.25">
      <c r="C18" s="181"/>
    </row>
    <row r="19" spans="1:17" ht="15" x14ac:dyDescent="0.25">
      <c r="C19" s="181"/>
    </row>
    <row r="20" spans="1:17" ht="15" x14ac:dyDescent="0.25">
      <c r="C20" s="181"/>
    </row>
    <row r="21" spans="1:17" ht="15" x14ac:dyDescent="0.25">
      <c r="C21" s="181"/>
    </row>
    <row r="22" spans="1:17" ht="15" x14ac:dyDescent="0.25">
      <c r="C22" s="182"/>
    </row>
    <row r="23" spans="1:17" ht="15" x14ac:dyDescent="0.25">
      <c r="C23" s="181"/>
    </row>
    <row r="24" spans="1:17" ht="15" x14ac:dyDescent="0.25">
      <c r="C24" s="181"/>
    </row>
  </sheetData>
  <mergeCells count="6">
    <mergeCell ref="A4:A10"/>
    <mergeCell ref="P4:P10"/>
    <mergeCell ref="A11:A12"/>
    <mergeCell ref="P11:P12"/>
    <mergeCell ref="P13:P16"/>
    <mergeCell ref="A13:A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8C0D0-3232-4698-A9CA-1F6A635AD1A6}">
  <dimension ref="A1:A4"/>
  <sheetViews>
    <sheetView workbookViewId="0">
      <selection activeCell="F16" sqref="F16"/>
    </sheetView>
  </sheetViews>
  <sheetFormatPr defaultRowHeight="15" x14ac:dyDescent="0.25"/>
  <sheetData>
    <row r="1" spans="1:1" x14ac:dyDescent="0.25">
      <c r="A1" s="46" t="s">
        <v>447</v>
      </c>
    </row>
    <row r="2" spans="1:1" x14ac:dyDescent="0.25">
      <c r="A2" s="163" t="s">
        <v>217</v>
      </c>
    </row>
    <row r="3" spans="1:1" x14ac:dyDescent="0.25">
      <c r="A3" s="163" t="s">
        <v>210</v>
      </c>
    </row>
    <row r="4" spans="1:1" x14ac:dyDescent="0.25">
      <c r="A4" t="s">
        <v>448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F437-53F2-4E9C-BFF6-9E50A4E069EB}">
  <dimension ref="A1:AP210"/>
  <sheetViews>
    <sheetView zoomScale="90" zoomScaleNormal="90" workbookViewId="0">
      <pane ySplit="3" topLeftCell="A77" activePane="bottomLeft" state="frozen"/>
      <selection pane="bottomLeft" activeCell="G94" sqref="G94"/>
    </sheetView>
  </sheetViews>
  <sheetFormatPr defaultColWidth="9.140625" defaultRowHeight="15" outlineLevelRow="3" x14ac:dyDescent="0.25"/>
  <cols>
    <col min="1" max="1" width="9.140625" style="2"/>
    <col min="2" max="2" width="42.140625" style="2" customWidth="1"/>
    <col min="3" max="3" width="10.85546875" style="2" customWidth="1"/>
    <col min="4" max="42" width="18.85546875" style="2" customWidth="1"/>
    <col min="43" max="16384" width="9.140625" style="2"/>
  </cols>
  <sheetData>
    <row r="1" spans="1:42" s="1" customFormat="1" ht="20.25" thickBot="1" x14ac:dyDescent="0.35">
      <c r="A1" s="1" t="s">
        <v>0</v>
      </c>
      <c r="H1" s="1" t="s">
        <v>1</v>
      </c>
      <c r="I1" s="201" t="s">
        <v>2</v>
      </c>
      <c r="J1" s="202" t="s">
        <v>3</v>
      </c>
      <c r="K1" s="203" t="s">
        <v>4</v>
      </c>
      <c r="L1" s="204" t="s">
        <v>5</v>
      </c>
      <c r="M1" s="200" t="s">
        <v>303</v>
      </c>
    </row>
    <row r="2" spans="1:42" s="1" customFormat="1" ht="20.100000000000001" customHeight="1" thickTop="1" thickBot="1" x14ac:dyDescent="0.35">
      <c r="A2" s="159" t="s">
        <v>30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ht="15.75" thickTop="1" x14ac:dyDescent="0.25"/>
    <row r="4" spans="1:42" s="73" customFormat="1" ht="18" thickBot="1" x14ac:dyDescent="0.35">
      <c r="A4" s="73" t="s">
        <v>6</v>
      </c>
    </row>
    <row r="5" spans="1:42" ht="15.75" outlineLevel="1" thickTop="1" x14ac:dyDescent="0.25"/>
    <row r="6" spans="1:42" outlineLevel="1" x14ac:dyDescent="0.25">
      <c r="B6" s="8" t="s">
        <v>7</v>
      </c>
      <c r="J6" s="8" t="s">
        <v>8</v>
      </c>
      <c r="K6" s="8"/>
      <c r="L6" s="8"/>
      <c r="M6" s="8"/>
    </row>
    <row r="7" spans="1:42" outlineLevel="1" x14ac:dyDescent="0.25"/>
    <row r="8" spans="1:42" ht="35.1" customHeight="1" outlineLevel="1" x14ac:dyDescent="0.25">
      <c r="B8" s="239" t="s">
        <v>464</v>
      </c>
      <c r="C8" s="239"/>
      <c r="D8" s="239"/>
      <c r="E8" s="239"/>
      <c r="F8" s="239"/>
      <c r="G8" s="239"/>
      <c r="H8" s="239"/>
      <c r="J8" s="239" t="s">
        <v>9</v>
      </c>
      <c r="K8" s="239"/>
      <c r="L8" s="239"/>
      <c r="M8" s="239"/>
      <c r="N8" s="239"/>
      <c r="O8" s="239"/>
      <c r="P8" s="239"/>
      <c r="Q8" s="239"/>
      <c r="R8" s="71"/>
      <c r="S8" s="71"/>
    </row>
    <row r="9" spans="1:42" ht="14.45" customHeight="1" outlineLevel="1" x14ac:dyDescent="0.25">
      <c r="B9" s="71"/>
      <c r="C9" s="71"/>
      <c r="D9" s="71"/>
      <c r="E9" s="71"/>
      <c r="F9" s="71"/>
      <c r="G9" s="71"/>
      <c r="H9" s="71"/>
      <c r="J9" s="71"/>
      <c r="K9" s="71"/>
      <c r="L9" s="71"/>
      <c r="M9" s="71"/>
      <c r="N9" s="71"/>
      <c r="O9" s="71"/>
      <c r="P9" s="71"/>
      <c r="Q9" s="71"/>
      <c r="R9" s="71"/>
      <c r="S9" s="71"/>
    </row>
    <row r="10" spans="1:42" ht="14.45" customHeight="1" outlineLevel="1" x14ac:dyDescent="0.25">
      <c r="B10" s="8" t="s">
        <v>10</v>
      </c>
      <c r="C10" s="71"/>
      <c r="D10" s="71"/>
      <c r="E10" s="71"/>
      <c r="F10" s="71"/>
      <c r="G10" s="71"/>
      <c r="H10" s="71"/>
      <c r="J10" s="71"/>
      <c r="K10" s="71"/>
      <c r="L10" s="71"/>
      <c r="M10" s="71"/>
      <c r="N10" s="71"/>
      <c r="O10" s="71"/>
      <c r="P10" s="71"/>
      <c r="Q10" s="71"/>
      <c r="R10" s="71"/>
      <c r="S10" s="71"/>
    </row>
    <row r="11" spans="1:42" ht="14.45" customHeight="1" outlineLevel="1" x14ac:dyDescent="0.25">
      <c r="B11" s="71"/>
      <c r="C11" s="71"/>
      <c r="D11" s="71"/>
      <c r="E11" s="71"/>
      <c r="F11" s="71"/>
      <c r="G11" s="71"/>
      <c r="H11" s="71"/>
      <c r="J11" s="71"/>
      <c r="K11" s="71"/>
      <c r="L11" s="71"/>
      <c r="M11" s="71"/>
      <c r="N11" s="71"/>
      <c r="O11" s="71"/>
      <c r="P11" s="71"/>
      <c r="Q11" s="71"/>
      <c r="R11" s="71"/>
      <c r="S11" s="71"/>
    </row>
    <row r="12" spans="1:42" ht="60" customHeight="1" outlineLevel="1" x14ac:dyDescent="0.25">
      <c r="B12" s="243" t="s">
        <v>465</v>
      </c>
      <c r="C12" s="244"/>
      <c r="D12" s="244"/>
      <c r="E12" s="244"/>
      <c r="F12" s="244"/>
      <c r="G12" s="244"/>
      <c r="H12" s="244"/>
      <c r="I12" s="244"/>
      <c r="J12" s="244"/>
      <c r="K12" s="244"/>
      <c r="L12" s="244"/>
      <c r="M12" s="244"/>
      <c r="N12" s="244"/>
      <c r="O12" s="244"/>
      <c r="P12" s="244"/>
      <c r="Q12" s="245"/>
      <c r="R12" s="71"/>
      <c r="S12" s="71"/>
    </row>
    <row r="13" spans="1:42" outlineLevel="1" x14ac:dyDescent="0.25">
      <c r="B13" s="2" t="s">
        <v>11</v>
      </c>
    </row>
    <row r="14" spans="1:42" s="73" customFormat="1" ht="18" thickBot="1" x14ac:dyDescent="0.35">
      <c r="A14" s="73" t="s">
        <v>12</v>
      </c>
    </row>
    <row r="15" spans="1:42" ht="15.75" outlineLevel="1" thickTop="1" x14ac:dyDescent="0.25"/>
    <row r="16" spans="1:42" outlineLevel="1" x14ac:dyDescent="0.25">
      <c r="B16" s="7" t="s">
        <v>13</v>
      </c>
    </row>
    <row r="17" spans="1:7" outlineLevel="1" x14ac:dyDescent="0.25">
      <c r="A17" s="28" t="s">
        <v>14</v>
      </c>
      <c r="B17" s="29" t="s">
        <v>15</v>
      </c>
    </row>
    <row r="18" spans="1:7" outlineLevel="1" x14ac:dyDescent="0.25">
      <c r="A18" s="28" t="s">
        <v>16</v>
      </c>
      <c r="B18" s="29" t="s">
        <v>17</v>
      </c>
    </row>
    <row r="19" spans="1:7" outlineLevel="1" x14ac:dyDescent="0.25">
      <c r="A19" s="28" t="s">
        <v>18</v>
      </c>
      <c r="B19" s="29" t="s">
        <v>19</v>
      </c>
    </row>
    <row r="20" spans="1:7" outlineLevel="1" x14ac:dyDescent="0.25">
      <c r="A20" s="28" t="s">
        <v>20</v>
      </c>
      <c r="B20" s="29" t="s">
        <v>21</v>
      </c>
    </row>
    <row r="21" spans="1:7" outlineLevel="1" x14ac:dyDescent="0.25">
      <c r="A21" s="28" t="s">
        <v>22</v>
      </c>
      <c r="B21" s="30" t="s">
        <v>23</v>
      </c>
    </row>
    <row r="22" spans="1:7" outlineLevel="1" x14ac:dyDescent="0.25">
      <c r="A22" s="28" t="s">
        <v>24</v>
      </c>
      <c r="B22" s="29" t="s">
        <v>25</v>
      </c>
    </row>
    <row r="23" spans="1:7" outlineLevel="1" x14ac:dyDescent="0.25">
      <c r="A23" s="28" t="s">
        <v>26</v>
      </c>
      <c r="B23" s="29" t="s">
        <v>27</v>
      </c>
    </row>
    <row r="24" spans="1:7" ht="15.75" outlineLevel="1" thickBot="1" x14ac:dyDescent="0.3">
      <c r="A24" s="28"/>
      <c r="B24" s="29"/>
    </row>
    <row r="25" spans="1:7" ht="21.75" outlineLevel="1" thickBot="1" x14ac:dyDescent="0.4">
      <c r="A25" s="28"/>
      <c r="B25" s="146" t="s">
        <v>28</v>
      </c>
      <c r="C25" s="147" t="s">
        <v>516</v>
      </c>
      <c r="D25" s="148"/>
      <c r="E25" s="29" t="s">
        <v>189</v>
      </c>
      <c r="F25" s="61"/>
    </row>
    <row r="26" spans="1:7" outlineLevel="1" x14ac:dyDescent="0.25">
      <c r="A26" s="28"/>
      <c r="B26" s="29"/>
    </row>
    <row r="27" spans="1:7" outlineLevel="1" x14ac:dyDescent="0.25">
      <c r="A27" s="28"/>
      <c r="B27" s="29"/>
      <c r="C27" s="150" t="str">
        <f>_xlfn.XLOOKUP(C25,$D$142:$J$142,$D$143:$J$143)</f>
        <v>Residential</v>
      </c>
    </row>
    <row r="28" spans="1:7" outlineLevel="1" x14ac:dyDescent="0.25"/>
    <row r="29" spans="1:7" s="73" customFormat="1" ht="18" thickBot="1" x14ac:dyDescent="0.35">
      <c r="A29" s="73" t="s">
        <v>29</v>
      </c>
    </row>
    <row r="30" spans="1:7" ht="15.75" outlineLevel="1" thickTop="1" x14ac:dyDescent="0.25">
      <c r="A30" s="4"/>
    </row>
    <row r="31" spans="1:7" outlineLevel="1" x14ac:dyDescent="0.25"/>
    <row r="32" spans="1:7" outlineLevel="1" x14ac:dyDescent="0.25">
      <c r="B32" s="256" t="s">
        <v>31</v>
      </c>
      <c r="C32" s="256"/>
      <c r="D32" s="256"/>
      <c r="E32" s="256"/>
      <c r="F32" s="256"/>
      <c r="G32" s="256"/>
    </row>
    <row r="33" spans="1:18" outlineLevel="1" x14ac:dyDescent="0.25">
      <c r="B33" s="22"/>
      <c r="C33" s="22"/>
      <c r="D33" s="8"/>
      <c r="E33" s="22"/>
      <c r="F33" s="22"/>
      <c r="H33" s="22"/>
      <c r="I33" s="22"/>
      <c r="J33" s="22"/>
    </row>
    <row r="34" spans="1:18" outlineLevel="1" x14ac:dyDescent="0.25">
      <c r="D34" s="39" t="str">
        <f>"Variant"&amp;" "&amp;$A$17</f>
        <v>Variant 1a</v>
      </c>
      <c r="E34" s="39" t="str">
        <f>"Variant"&amp;" "&amp;$A$18</f>
        <v>Variant 1b</v>
      </c>
      <c r="F34" s="39" t="str">
        <f>"Variant"&amp;" "&amp;$A$19</f>
        <v>Variant 1c</v>
      </c>
      <c r="G34" s="39" t="str">
        <f>"Variant"&amp;" "&amp;$A$20</f>
        <v>Variant 1d</v>
      </c>
      <c r="H34" s="39" t="str">
        <f>"Variant"&amp;" "&amp;$A$21</f>
        <v>Variant 1e</v>
      </c>
      <c r="I34" s="39" t="str">
        <f>"Variant"&amp;" "&amp;$A$22</f>
        <v>Variant 1f</v>
      </c>
      <c r="J34" s="39" t="str">
        <f>"Variant"&amp;" "&amp;$A$23</f>
        <v>Variant 1g</v>
      </c>
      <c r="K34" s="225" t="s">
        <v>32</v>
      </c>
      <c r="L34" s="225"/>
      <c r="M34" s="225"/>
      <c r="N34" s="225"/>
      <c r="O34" s="240" t="s">
        <v>33</v>
      </c>
      <c r="P34" s="241"/>
      <c r="Q34" s="241"/>
      <c r="R34" s="242"/>
    </row>
    <row r="35" spans="1:18" ht="14.45" customHeight="1" outlineLevel="1" x14ac:dyDescent="0.25">
      <c r="A35" s="13"/>
      <c r="B35" s="2" t="s">
        <v>34</v>
      </c>
      <c r="C35" s="5" t="s">
        <v>35</v>
      </c>
      <c r="D35" s="26">
        <f>D99</f>
        <v>5782.5</v>
      </c>
      <c r="E35" s="26">
        <f t="shared" ref="E35:J35" si="0">E99</f>
        <v>8105</v>
      </c>
      <c r="F35" s="26">
        <f t="shared" si="0"/>
        <v>8105</v>
      </c>
      <c r="G35" s="26">
        <f t="shared" si="0"/>
        <v>2722.5</v>
      </c>
      <c r="H35" s="26">
        <f t="shared" si="0"/>
        <v>17065</v>
      </c>
      <c r="I35" s="26">
        <f t="shared" si="0"/>
        <v>17065</v>
      </c>
      <c r="J35" s="26">
        <f t="shared" si="0"/>
        <v>37065</v>
      </c>
      <c r="K35" s="226" t="s">
        <v>36</v>
      </c>
      <c r="L35" s="226"/>
      <c r="M35" s="226"/>
      <c r="N35" s="226"/>
      <c r="O35" s="226" t="s">
        <v>37</v>
      </c>
      <c r="P35" s="226"/>
      <c r="Q35" s="226"/>
      <c r="R35" s="226"/>
    </row>
    <row r="36" spans="1:18" ht="14.45" customHeight="1" outlineLevel="1" x14ac:dyDescent="0.25">
      <c r="A36" s="13" t="s">
        <v>38</v>
      </c>
      <c r="B36" s="2" t="s">
        <v>39</v>
      </c>
      <c r="C36" s="5" t="s">
        <v>35</v>
      </c>
      <c r="D36" s="26">
        <f>D48</f>
        <v>14492.395132254065</v>
      </c>
      <c r="E36" s="26">
        <f t="shared" ref="E36:J36" si="1">E48</f>
        <v>14492.395132254065</v>
      </c>
      <c r="F36" s="26">
        <f t="shared" si="1"/>
        <v>14492.395132254065</v>
      </c>
      <c r="G36" s="26">
        <f t="shared" si="1"/>
        <v>0</v>
      </c>
      <c r="H36" s="26">
        <f t="shared" si="1"/>
        <v>8598.3631373574644</v>
      </c>
      <c r="I36" s="26">
        <f t="shared" si="1"/>
        <v>8598.3631373574644</v>
      </c>
      <c r="J36" s="26">
        <f t="shared" si="1"/>
        <v>8598.3631373574644</v>
      </c>
      <c r="K36" s="226" t="s">
        <v>40</v>
      </c>
      <c r="L36" s="226"/>
      <c r="M36" s="226"/>
      <c r="N36" s="226"/>
      <c r="O36" s="226" t="s">
        <v>41</v>
      </c>
      <c r="P36" s="226"/>
      <c r="Q36" s="226"/>
      <c r="R36" s="226"/>
    </row>
    <row r="37" spans="1:18" ht="14.45" customHeight="1" outlineLevel="1" x14ac:dyDescent="0.25">
      <c r="A37" s="13" t="s">
        <v>42</v>
      </c>
      <c r="B37" s="2" t="s">
        <v>43</v>
      </c>
      <c r="C37" s="5" t="s">
        <v>35</v>
      </c>
      <c r="D37" s="26">
        <f>D208</f>
        <v>10039.895132254065</v>
      </c>
      <c r="E37" s="26">
        <f t="shared" ref="E37:J37" si="2">E208</f>
        <v>8717.3951322540652</v>
      </c>
      <c r="F37" s="26">
        <f t="shared" si="2"/>
        <v>10039.895132254065</v>
      </c>
      <c r="G37" s="26">
        <f t="shared" si="2"/>
        <v>0</v>
      </c>
      <c r="H37" s="26">
        <f t="shared" si="2"/>
        <v>3009.3631373574644</v>
      </c>
      <c r="I37" s="26">
        <f t="shared" si="2"/>
        <v>3009.3631373574644</v>
      </c>
      <c r="J37" s="26">
        <f t="shared" si="2"/>
        <v>3009.3631373574644</v>
      </c>
      <c r="K37" s="226" t="s">
        <v>44</v>
      </c>
      <c r="L37" s="226"/>
      <c r="M37" s="226"/>
      <c r="N37" s="226"/>
      <c r="O37" s="226" t="s">
        <v>45</v>
      </c>
      <c r="P37" s="226"/>
      <c r="Q37" s="226"/>
      <c r="R37" s="226"/>
    </row>
    <row r="38" spans="1:18" ht="15" customHeight="1" outlineLevel="1" thickBot="1" x14ac:dyDescent="0.3">
      <c r="A38" s="13" t="s">
        <v>46</v>
      </c>
      <c r="B38" s="17" t="s">
        <v>47</v>
      </c>
      <c r="C38" s="16" t="s">
        <v>35</v>
      </c>
      <c r="D38" s="98">
        <f>D35-D36+D37</f>
        <v>1330</v>
      </c>
      <c r="E38" s="98">
        <f t="shared" ref="E38:J38" si="3">E35-E36+E37</f>
        <v>2330</v>
      </c>
      <c r="F38" s="98">
        <f t="shared" si="3"/>
        <v>3652.5</v>
      </c>
      <c r="G38" s="98">
        <f t="shared" si="3"/>
        <v>2722.5</v>
      </c>
      <c r="H38" s="98">
        <f t="shared" si="3"/>
        <v>11476</v>
      </c>
      <c r="I38" s="98">
        <f t="shared" si="3"/>
        <v>11476</v>
      </c>
      <c r="J38" s="98">
        <f t="shared" si="3"/>
        <v>31476</v>
      </c>
      <c r="K38" s="226" t="s">
        <v>48</v>
      </c>
      <c r="L38" s="226"/>
      <c r="M38" s="226"/>
      <c r="N38" s="226"/>
      <c r="O38" s="226"/>
      <c r="P38" s="226"/>
      <c r="Q38" s="226"/>
      <c r="R38" s="226"/>
    </row>
    <row r="39" spans="1:18" ht="15.75" outlineLevel="1" thickTop="1" x14ac:dyDescent="0.25">
      <c r="A39" s="13"/>
      <c r="B39" s="7"/>
      <c r="D39" s="37"/>
      <c r="E39" s="37"/>
      <c r="F39" s="37"/>
      <c r="G39" s="37"/>
      <c r="H39" s="37"/>
      <c r="I39" s="37"/>
      <c r="J39" s="37"/>
    </row>
    <row r="40" spans="1:18" outlineLevel="1" x14ac:dyDescent="0.25">
      <c r="A40" s="13"/>
      <c r="B40" s="7"/>
      <c r="D40" s="39" t="str">
        <f>"Variant"&amp;" "&amp;$A$17</f>
        <v>Variant 1a</v>
      </c>
      <c r="E40" s="39" t="str">
        <f>"Variant"&amp;" "&amp;$A$18</f>
        <v>Variant 1b</v>
      </c>
      <c r="F40" s="39" t="str">
        <f>"Variant"&amp;" "&amp;$A$19</f>
        <v>Variant 1c</v>
      </c>
      <c r="G40" s="39" t="str">
        <f>"Variant"&amp;" "&amp;$A$20</f>
        <v>Variant 1d</v>
      </c>
      <c r="H40" s="39" t="str">
        <f>"Variant"&amp;" "&amp;$A$21</f>
        <v>Variant 1e</v>
      </c>
      <c r="I40" s="39" t="str">
        <f>"Variant"&amp;" "&amp;$A$22</f>
        <v>Variant 1f</v>
      </c>
      <c r="J40" s="39" t="str">
        <f>"Variant"&amp;" "&amp;$A$23</f>
        <v>Variant 1g</v>
      </c>
      <c r="K40" s="225" t="s">
        <v>32</v>
      </c>
      <c r="L40" s="225"/>
      <c r="M40" s="225"/>
      <c r="N40" s="225"/>
      <c r="O40" s="240" t="s">
        <v>33</v>
      </c>
      <c r="P40" s="241"/>
      <c r="Q40" s="241"/>
      <c r="R40" s="242"/>
    </row>
    <row r="41" spans="1:18" outlineLevel="1" x14ac:dyDescent="0.25">
      <c r="A41" s="13" t="s">
        <v>49</v>
      </c>
      <c r="B41" s="2" t="s">
        <v>34</v>
      </c>
      <c r="C41" s="5" t="s">
        <v>35</v>
      </c>
      <c r="D41" s="26">
        <f>D35</f>
        <v>5782.5</v>
      </c>
      <c r="E41" s="26">
        <f t="shared" ref="E41:J41" si="4">E35</f>
        <v>8105</v>
      </c>
      <c r="F41" s="26">
        <f t="shared" si="4"/>
        <v>8105</v>
      </c>
      <c r="G41" s="26">
        <f t="shared" si="4"/>
        <v>2722.5</v>
      </c>
      <c r="H41" s="26">
        <f t="shared" si="4"/>
        <v>17065</v>
      </c>
      <c r="I41" s="26">
        <f t="shared" si="4"/>
        <v>17065</v>
      </c>
      <c r="J41" s="26">
        <f t="shared" si="4"/>
        <v>37065</v>
      </c>
      <c r="K41" s="226" t="s">
        <v>36</v>
      </c>
      <c r="L41" s="226"/>
      <c r="M41" s="226"/>
      <c r="N41" s="226"/>
      <c r="O41" s="226" t="s">
        <v>37</v>
      </c>
      <c r="P41" s="226"/>
      <c r="Q41" s="226"/>
      <c r="R41" s="226"/>
    </row>
    <row r="42" spans="1:18" ht="14.45" customHeight="1" outlineLevel="1" x14ac:dyDescent="0.25">
      <c r="A42" s="13" t="s">
        <v>38</v>
      </c>
      <c r="B42" s="2" t="s">
        <v>39</v>
      </c>
      <c r="C42" s="5" t="s">
        <v>35</v>
      </c>
      <c r="D42" s="26">
        <f>D36</f>
        <v>14492.395132254065</v>
      </c>
      <c r="E42" s="26">
        <f t="shared" ref="E42:J42" si="5">E36</f>
        <v>14492.395132254065</v>
      </c>
      <c r="F42" s="26">
        <f t="shared" si="5"/>
        <v>14492.395132254065</v>
      </c>
      <c r="G42" s="26">
        <f t="shared" si="5"/>
        <v>0</v>
      </c>
      <c r="H42" s="26">
        <f t="shared" si="5"/>
        <v>8598.3631373574644</v>
      </c>
      <c r="I42" s="26">
        <f t="shared" si="5"/>
        <v>8598.3631373574644</v>
      </c>
      <c r="J42" s="26">
        <f t="shared" si="5"/>
        <v>8598.3631373574644</v>
      </c>
      <c r="K42" s="226" t="s">
        <v>40</v>
      </c>
      <c r="L42" s="226"/>
      <c r="M42" s="226"/>
      <c r="N42" s="226"/>
      <c r="O42" s="226" t="s">
        <v>41</v>
      </c>
      <c r="P42" s="226"/>
      <c r="Q42" s="226"/>
      <c r="R42" s="226"/>
    </row>
    <row r="43" spans="1:18" ht="15.75" outlineLevel="1" thickBot="1" x14ac:dyDescent="0.3">
      <c r="A43" s="13" t="s">
        <v>46</v>
      </c>
      <c r="B43" s="70" t="s">
        <v>50</v>
      </c>
      <c r="C43" s="16" t="s">
        <v>35</v>
      </c>
      <c r="D43" s="98">
        <f>D41-D42</f>
        <v>-8709.8951322540652</v>
      </c>
      <c r="E43" s="98">
        <f t="shared" ref="E43:J43" si="6">E41-E42</f>
        <v>-6387.3951322540652</v>
      </c>
      <c r="F43" s="98">
        <f t="shared" si="6"/>
        <v>-6387.3951322540652</v>
      </c>
      <c r="G43" s="98">
        <f t="shared" si="6"/>
        <v>2722.5</v>
      </c>
      <c r="H43" s="98">
        <f t="shared" si="6"/>
        <v>8466.6368626425356</v>
      </c>
      <c r="I43" s="98">
        <f t="shared" si="6"/>
        <v>8466.6368626425356</v>
      </c>
      <c r="J43" s="98">
        <f t="shared" si="6"/>
        <v>28466.636862642536</v>
      </c>
      <c r="K43" s="226" t="s">
        <v>51</v>
      </c>
      <c r="L43" s="226"/>
      <c r="M43" s="226"/>
      <c r="N43" s="226"/>
      <c r="O43" s="246"/>
      <c r="P43" s="246"/>
      <c r="Q43" s="246"/>
      <c r="R43" s="246"/>
    </row>
    <row r="44" spans="1:18" ht="15.75" outlineLevel="1" thickTop="1" x14ac:dyDescent="0.25">
      <c r="A44" s="13"/>
      <c r="B44" s="7"/>
      <c r="D44" s="40"/>
      <c r="E44" s="40"/>
      <c r="F44" s="40"/>
      <c r="G44" s="40"/>
      <c r="H44" s="40"/>
      <c r="I44" s="40"/>
      <c r="J44" s="40"/>
      <c r="K44" s="69"/>
      <c r="L44" s="69"/>
      <c r="M44" s="69"/>
      <c r="O44" s="69"/>
      <c r="P44" s="69"/>
      <c r="Q44" s="69"/>
    </row>
    <row r="45" spans="1:18" outlineLevel="1" x14ac:dyDescent="0.25">
      <c r="A45" s="13"/>
      <c r="B45" s="7"/>
      <c r="D45" s="39" t="str">
        <f>"Variant"&amp;" "&amp;$A$17</f>
        <v>Variant 1a</v>
      </c>
      <c r="E45" s="39" t="str">
        <f>"Variant"&amp;" "&amp;$A$18</f>
        <v>Variant 1b</v>
      </c>
      <c r="F45" s="39" t="str">
        <f>"Variant"&amp;" "&amp;$A$19</f>
        <v>Variant 1c</v>
      </c>
      <c r="G45" s="39" t="str">
        <f>"Variant"&amp;" "&amp;$A$20</f>
        <v>Variant 1d</v>
      </c>
      <c r="H45" s="39" t="str">
        <f>"Variant"&amp;" "&amp;$A$21</f>
        <v>Variant 1e</v>
      </c>
      <c r="I45" s="39" t="str">
        <f>"Variant"&amp;" "&amp;$A$22</f>
        <v>Variant 1f</v>
      </c>
      <c r="J45" s="39" t="str">
        <f>"Variant"&amp;" "&amp;$A$23</f>
        <v>Variant 1g</v>
      </c>
      <c r="K45" s="225" t="s">
        <v>32</v>
      </c>
      <c r="L45" s="225"/>
      <c r="M45" s="225"/>
      <c r="N45" s="225"/>
      <c r="O45" s="240" t="s">
        <v>33</v>
      </c>
      <c r="P45" s="241"/>
      <c r="Q45" s="241"/>
      <c r="R45" s="242"/>
    </row>
    <row r="46" spans="1:18" ht="14.45" customHeight="1" outlineLevel="1" x14ac:dyDescent="0.25">
      <c r="A46" s="13" t="s">
        <v>49</v>
      </c>
      <c r="B46" s="2" t="s">
        <v>52</v>
      </c>
      <c r="C46" s="5" t="s">
        <v>35</v>
      </c>
      <c r="D46" s="26">
        <f t="shared" ref="D46:J47" si="7">D134</f>
        <v>10669.479970821252</v>
      </c>
      <c r="E46" s="26">
        <f t="shared" si="7"/>
        <v>10669.479970821252</v>
      </c>
      <c r="F46" s="26">
        <f t="shared" si="7"/>
        <v>10669.479970821252</v>
      </c>
      <c r="G46" s="26">
        <f t="shared" si="7"/>
        <v>0</v>
      </c>
      <c r="H46" s="26">
        <f t="shared" si="7"/>
        <v>4774.6209081754723</v>
      </c>
      <c r="I46" s="26">
        <f t="shared" si="7"/>
        <v>4774.6209081754723</v>
      </c>
      <c r="J46" s="26">
        <f t="shared" si="7"/>
        <v>4774.6209081754723</v>
      </c>
      <c r="K46" s="226" t="s">
        <v>53</v>
      </c>
      <c r="L46" s="226"/>
      <c r="M46" s="226"/>
      <c r="N46" s="226"/>
      <c r="O46" s="226" t="s">
        <v>41</v>
      </c>
      <c r="P46" s="226"/>
      <c r="Q46" s="226"/>
      <c r="R46" s="226"/>
    </row>
    <row r="47" spans="1:18" ht="14.45" customHeight="1" outlineLevel="1" x14ac:dyDescent="0.25">
      <c r="A47" s="13" t="s">
        <v>42</v>
      </c>
      <c r="B47" s="2" t="s">
        <v>54</v>
      </c>
      <c r="C47" s="14" t="s">
        <v>35</v>
      </c>
      <c r="D47" s="26">
        <f t="shared" si="7"/>
        <v>3822.9151614328134</v>
      </c>
      <c r="E47" s="26">
        <f t="shared" si="7"/>
        <v>3822.9151614328134</v>
      </c>
      <c r="F47" s="26">
        <f t="shared" si="7"/>
        <v>3822.9151614328134</v>
      </c>
      <c r="G47" s="26">
        <f t="shared" si="7"/>
        <v>0</v>
      </c>
      <c r="H47" s="26">
        <f t="shared" si="7"/>
        <v>3823.742229181993</v>
      </c>
      <c r="I47" s="26">
        <f t="shared" si="7"/>
        <v>3823.742229181993</v>
      </c>
      <c r="J47" s="26">
        <f t="shared" si="7"/>
        <v>3823.742229181993</v>
      </c>
      <c r="K47" s="226" t="s">
        <v>55</v>
      </c>
      <c r="L47" s="226"/>
      <c r="M47" s="226"/>
      <c r="N47" s="226"/>
      <c r="O47" s="226" t="s">
        <v>41</v>
      </c>
      <c r="P47" s="226"/>
      <c r="Q47" s="226"/>
      <c r="R47" s="226"/>
    </row>
    <row r="48" spans="1:18" ht="15.75" outlineLevel="1" thickBot="1" x14ac:dyDescent="0.3">
      <c r="A48" s="13" t="s">
        <v>46</v>
      </c>
      <c r="B48" s="17" t="s">
        <v>39</v>
      </c>
      <c r="C48" s="16" t="s">
        <v>35</v>
      </c>
      <c r="D48" s="98">
        <f>SUM(D46:D47)</f>
        <v>14492.395132254065</v>
      </c>
      <c r="E48" s="98">
        <f t="shared" ref="E48:J48" si="8">SUM(E46:E47)</f>
        <v>14492.395132254065</v>
      </c>
      <c r="F48" s="98">
        <f t="shared" si="8"/>
        <v>14492.395132254065</v>
      </c>
      <c r="G48" s="98">
        <f t="shared" si="8"/>
        <v>0</v>
      </c>
      <c r="H48" s="98">
        <f t="shared" si="8"/>
        <v>8598.3631373574644</v>
      </c>
      <c r="I48" s="98">
        <f t="shared" si="8"/>
        <v>8598.3631373574644</v>
      </c>
      <c r="J48" s="98">
        <f t="shared" si="8"/>
        <v>8598.3631373574644</v>
      </c>
      <c r="K48" s="226" t="s">
        <v>56</v>
      </c>
      <c r="L48" s="226"/>
      <c r="M48" s="226"/>
      <c r="N48" s="226"/>
      <c r="O48" s="226" t="s">
        <v>41</v>
      </c>
      <c r="P48" s="226"/>
      <c r="Q48" s="226"/>
      <c r="R48" s="226"/>
    </row>
    <row r="49" spans="1:19" ht="15.75" outlineLevel="1" thickTop="1" x14ac:dyDescent="0.25">
      <c r="A49" s="13"/>
      <c r="B49" s="7"/>
      <c r="D49" s="37"/>
      <c r="E49" s="37"/>
      <c r="F49" s="37"/>
      <c r="G49" s="37"/>
      <c r="H49" s="37"/>
      <c r="I49" s="37"/>
      <c r="J49" s="37"/>
    </row>
    <row r="50" spans="1:19" outlineLevel="1" x14ac:dyDescent="0.25">
      <c r="A50" s="13"/>
      <c r="B50" s="7"/>
      <c r="D50" s="37"/>
      <c r="E50" s="37"/>
      <c r="F50" s="37"/>
      <c r="G50" s="37"/>
      <c r="H50" s="37"/>
      <c r="I50" s="37"/>
      <c r="J50" s="37"/>
      <c r="K50" s="225" t="s">
        <v>32</v>
      </c>
      <c r="L50" s="225"/>
      <c r="M50" s="225"/>
      <c r="N50" s="225"/>
      <c r="O50" s="240" t="s">
        <v>33</v>
      </c>
      <c r="P50" s="241"/>
      <c r="Q50" s="241"/>
      <c r="R50" s="242"/>
    </row>
    <row r="51" spans="1:19" ht="29.1" customHeight="1" outlineLevel="1" x14ac:dyDescent="0.25">
      <c r="A51" s="13"/>
      <c r="B51" s="7" t="s">
        <v>57</v>
      </c>
      <c r="C51" s="7"/>
      <c r="D51" s="41" t="str">
        <f t="shared" ref="D51:J51" si="9">IF(D38=D84,"pass","fail")</f>
        <v>pass</v>
      </c>
      <c r="E51" s="41" t="str">
        <f t="shared" si="9"/>
        <v>pass</v>
      </c>
      <c r="F51" s="41" t="str">
        <f t="shared" si="9"/>
        <v>pass</v>
      </c>
      <c r="G51" s="41" t="str">
        <f t="shared" si="9"/>
        <v>pass</v>
      </c>
      <c r="H51" s="41" t="str">
        <f t="shared" si="9"/>
        <v>pass</v>
      </c>
      <c r="I51" s="41" t="str">
        <f t="shared" si="9"/>
        <v>pass</v>
      </c>
      <c r="J51" s="41" t="str">
        <f t="shared" si="9"/>
        <v>pass</v>
      </c>
      <c r="K51" s="226" t="s">
        <v>58</v>
      </c>
      <c r="L51" s="226"/>
      <c r="M51" s="226"/>
      <c r="N51" s="226"/>
      <c r="O51" s="246"/>
      <c r="P51" s="246"/>
      <c r="Q51" s="246"/>
      <c r="R51" s="246"/>
    </row>
    <row r="52" spans="1:19" ht="14.45" customHeight="1" outlineLevel="1" x14ac:dyDescent="0.25">
      <c r="A52" s="13"/>
      <c r="B52" s="7"/>
      <c r="C52" s="7"/>
      <c r="D52" s="41"/>
      <c r="E52" s="41"/>
      <c r="F52" s="41"/>
      <c r="G52" s="41"/>
      <c r="H52" s="41"/>
      <c r="I52" s="41"/>
      <c r="J52" s="41"/>
      <c r="K52" s="44"/>
      <c r="L52" s="44"/>
      <c r="M52" s="44"/>
      <c r="Q52" s="44"/>
      <c r="R52" s="44"/>
      <c r="S52" s="44"/>
    </row>
    <row r="53" spans="1:19" s="9" customFormat="1" ht="15.75" outlineLevel="1" thickBot="1" x14ac:dyDescent="0.3">
      <c r="A53" s="9" t="s">
        <v>59</v>
      </c>
    </row>
    <row r="54" spans="1:19" ht="14.45" customHeight="1" outlineLevel="1" x14ac:dyDescent="0.25">
      <c r="A54" s="13"/>
      <c r="B54" s="7"/>
      <c r="C54" s="7"/>
      <c r="D54" s="41"/>
      <c r="E54" s="41"/>
      <c r="F54" s="41"/>
      <c r="G54" s="41"/>
      <c r="H54" s="41"/>
      <c r="I54" s="41"/>
      <c r="J54" s="41"/>
      <c r="K54" s="44"/>
      <c r="L54" s="44"/>
      <c r="M54" s="44"/>
      <c r="Q54" s="44"/>
      <c r="R54" s="44"/>
      <c r="S54" s="44"/>
    </row>
    <row r="55" spans="1:19" ht="14.45" customHeight="1" outlineLevel="1" x14ac:dyDescent="0.25">
      <c r="A55" s="13"/>
      <c r="B55" s="66" t="s">
        <v>60</v>
      </c>
      <c r="C55" s="6" t="s">
        <v>61</v>
      </c>
      <c r="D55" s="39" t="str">
        <f>"Variant"&amp;" "&amp;$A$17</f>
        <v>Variant 1a</v>
      </c>
      <c r="E55" s="39" t="str">
        <f>"Variant"&amp;" "&amp;$A$18</f>
        <v>Variant 1b</v>
      </c>
      <c r="F55" s="39" t="str">
        <f>"Variant"&amp;" "&amp;$A$19</f>
        <v>Variant 1c</v>
      </c>
      <c r="G55" s="39" t="str">
        <f>"Variant"&amp;" "&amp;$A$20</f>
        <v>Variant 1d</v>
      </c>
      <c r="H55" s="39" t="str">
        <f>"Variant"&amp;" "&amp;$A$21</f>
        <v>Variant 1e</v>
      </c>
      <c r="I55" s="39" t="str">
        <f>"Variant"&amp;" "&amp;$A$22</f>
        <v>Variant 1f</v>
      </c>
      <c r="J55" s="39" t="str">
        <f>"Variant"&amp;" "&amp;$A$23</f>
        <v>Variant 1g</v>
      </c>
      <c r="K55" s="225" t="s">
        <v>32</v>
      </c>
      <c r="L55" s="225"/>
      <c r="M55" s="225"/>
      <c r="N55" s="225"/>
      <c r="O55" s="225" t="s">
        <v>33</v>
      </c>
      <c r="P55" s="225"/>
      <c r="Q55" s="225"/>
      <c r="R55" s="225"/>
    </row>
    <row r="56" spans="1:19" ht="14.45" customHeight="1" outlineLevel="1" x14ac:dyDescent="0.25">
      <c r="A56" s="13"/>
      <c r="B56" s="67" t="s">
        <v>47</v>
      </c>
      <c r="C56" s="5" t="s">
        <v>35</v>
      </c>
      <c r="D56" s="26">
        <f>D38</f>
        <v>1330</v>
      </c>
      <c r="E56" s="26">
        <f t="shared" ref="E56:J56" si="10">E38</f>
        <v>2330</v>
      </c>
      <c r="F56" s="26">
        <f t="shared" si="10"/>
        <v>3652.5</v>
      </c>
      <c r="G56" s="26">
        <f t="shared" si="10"/>
        <v>2722.5</v>
      </c>
      <c r="H56" s="26">
        <f t="shared" si="10"/>
        <v>11476</v>
      </c>
      <c r="I56" s="26">
        <f t="shared" si="10"/>
        <v>11476</v>
      </c>
      <c r="J56" s="26">
        <f t="shared" si="10"/>
        <v>31476</v>
      </c>
      <c r="K56" s="226" t="s">
        <v>48</v>
      </c>
      <c r="L56" s="226"/>
      <c r="M56" s="226"/>
      <c r="N56" s="226"/>
      <c r="O56" s="226"/>
      <c r="P56" s="226"/>
      <c r="Q56" s="226"/>
      <c r="R56" s="226"/>
    </row>
    <row r="57" spans="1:19" ht="14.45" customHeight="1" outlineLevel="1" x14ac:dyDescent="0.25">
      <c r="A57" s="13" t="s">
        <v>42</v>
      </c>
      <c r="B57" s="67" t="s">
        <v>62</v>
      </c>
      <c r="C57" s="14" t="s">
        <v>35</v>
      </c>
      <c r="D57" s="26">
        <f>D36</f>
        <v>14492.395132254065</v>
      </c>
      <c r="E57" s="26">
        <f t="shared" ref="E57:J57" si="11">E36</f>
        <v>14492.395132254065</v>
      </c>
      <c r="F57" s="26">
        <f t="shared" si="11"/>
        <v>14492.395132254065</v>
      </c>
      <c r="G57" s="26">
        <f t="shared" si="11"/>
        <v>0</v>
      </c>
      <c r="H57" s="26">
        <f t="shared" si="11"/>
        <v>8598.3631373574644</v>
      </c>
      <c r="I57" s="26">
        <f t="shared" si="11"/>
        <v>8598.3631373574644</v>
      </c>
      <c r="J57" s="26">
        <f t="shared" si="11"/>
        <v>8598.3631373574644</v>
      </c>
      <c r="K57" s="226" t="s">
        <v>63</v>
      </c>
      <c r="L57" s="226"/>
      <c r="M57" s="226"/>
      <c r="N57" s="226"/>
      <c r="O57" s="226" t="s">
        <v>41</v>
      </c>
      <c r="P57" s="226"/>
      <c r="Q57" s="226"/>
      <c r="R57" s="226"/>
    </row>
    <row r="58" spans="1:19" ht="14.45" customHeight="1" outlineLevel="1" thickBot="1" x14ac:dyDescent="0.3">
      <c r="A58" s="13" t="s">
        <v>46</v>
      </c>
      <c r="B58" s="17" t="s">
        <v>59</v>
      </c>
      <c r="C58" s="16" t="s">
        <v>35</v>
      </c>
      <c r="D58" s="98">
        <f>SUM(D56:D57)</f>
        <v>15822.395132254065</v>
      </c>
      <c r="E58" s="98">
        <f t="shared" ref="E58:J58" si="12">SUM(E56:E57)</f>
        <v>16822.395132254067</v>
      </c>
      <c r="F58" s="98">
        <f t="shared" si="12"/>
        <v>18144.895132254067</v>
      </c>
      <c r="G58" s="98">
        <f t="shared" si="12"/>
        <v>2722.5</v>
      </c>
      <c r="H58" s="98">
        <f t="shared" si="12"/>
        <v>20074.363137357464</v>
      </c>
      <c r="I58" s="98">
        <f t="shared" si="12"/>
        <v>20074.363137357464</v>
      </c>
      <c r="J58" s="98">
        <f t="shared" si="12"/>
        <v>40074.363137357461</v>
      </c>
      <c r="K58" s="226" t="s">
        <v>64</v>
      </c>
      <c r="L58" s="226"/>
      <c r="M58" s="226"/>
      <c r="N58" s="226"/>
      <c r="O58" s="226" t="s">
        <v>65</v>
      </c>
      <c r="P58" s="226"/>
      <c r="Q58" s="226"/>
      <c r="R58" s="226"/>
    </row>
    <row r="59" spans="1:19" ht="14.45" customHeight="1" outlineLevel="1" thickTop="1" x14ac:dyDescent="0.25">
      <c r="A59" s="13"/>
      <c r="D59" s="72"/>
      <c r="E59" s="72"/>
      <c r="F59" s="72"/>
      <c r="G59" s="72"/>
      <c r="H59" s="72"/>
      <c r="I59" s="72"/>
      <c r="J59" s="72"/>
      <c r="K59" s="44"/>
      <c r="L59" s="44"/>
      <c r="M59" s="44"/>
      <c r="Q59" s="44"/>
      <c r="R59" s="44"/>
      <c r="S59" s="44"/>
    </row>
    <row r="60" spans="1:19" s="9" customFormat="1" ht="15.75" outlineLevel="1" thickBot="1" x14ac:dyDescent="0.3">
      <c r="A60" s="9" t="s">
        <v>66</v>
      </c>
    </row>
    <row r="61" spans="1:19" ht="14.45" customHeight="1" outlineLevel="1" x14ac:dyDescent="0.25">
      <c r="A61" s="13"/>
      <c r="B61" s="7"/>
      <c r="C61" s="7"/>
      <c r="D61" s="41"/>
      <c r="E61" s="41"/>
      <c r="F61" s="41"/>
      <c r="G61" s="41"/>
      <c r="H61" s="41"/>
      <c r="I61" s="41"/>
      <c r="J61" s="41"/>
      <c r="K61" s="44"/>
      <c r="L61" s="44"/>
      <c r="M61" s="44"/>
      <c r="Q61" s="44"/>
      <c r="R61" s="44"/>
      <c r="S61" s="44"/>
    </row>
    <row r="62" spans="1:19" ht="14.45" customHeight="1" outlineLevel="1" x14ac:dyDescent="0.25">
      <c r="A62" s="13"/>
      <c r="B62" s="66" t="s">
        <v>67</v>
      </c>
      <c r="C62" s="6" t="s">
        <v>61</v>
      </c>
      <c r="D62" s="39" t="str">
        <f>"Variant"&amp;" "&amp;$A$17</f>
        <v>Variant 1a</v>
      </c>
      <c r="E62" s="39" t="str">
        <f>"Variant"&amp;" "&amp;$A$18</f>
        <v>Variant 1b</v>
      </c>
      <c r="F62" s="39" t="str">
        <f>"Variant"&amp;" "&amp;$A$19</f>
        <v>Variant 1c</v>
      </c>
      <c r="G62" s="39" t="str">
        <f>"Variant"&amp;" "&amp;$A$20</f>
        <v>Variant 1d</v>
      </c>
      <c r="H62" s="39" t="str">
        <f>"Variant"&amp;" "&amp;$A$21</f>
        <v>Variant 1e</v>
      </c>
      <c r="I62" s="39" t="str">
        <f>"Variant"&amp;" "&amp;$A$22</f>
        <v>Variant 1f</v>
      </c>
      <c r="J62" s="39" t="str">
        <f>"Variant"&amp;" "&amp;$A$23</f>
        <v>Variant 1g</v>
      </c>
      <c r="K62" s="225" t="s">
        <v>32</v>
      </c>
      <c r="L62" s="225"/>
      <c r="M62" s="225"/>
      <c r="N62" s="225"/>
      <c r="O62" s="240" t="s">
        <v>33</v>
      </c>
      <c r="P62" s="241"/>
      <c r="Q62" s="241"/>
      <c r="R62" s="242"/>
    </row>
    <row r="63" spans="1:19" ht="14.45" customHeight="1" outlineLevel="1" x14ac:dyDescent="0.25">
      <c r="A63" s="13"/>
      <c r="B63" s="67" t="s">
        <v>68</v>
      </c>
      <c r="C63" s="5" t="s">
        <v>69</v>
      </c>
      <c r="D63" s="155">
        <f t="shared" ref="D63:J63" si="13">D38/D35</f>
        <v>0.23000432338953739</v>
      </c>
      <c r="E63" s="155">
        <f t="shared" si="13"/>
        <v>0.28747686613201728</v>
      </c>
      <c r="F63" s="155">
        <f t="shared" si="13"/>
        <v>0.45064774830351634</v>
      </c>
      <c r="G63" s="155">
        <f t="shared" si="13"/>
        <v>1</v>
      </c>
      <c r="H63" s="155">
        <f t="shared" si="13"/>
        <v>0.67248754761207152</v>
      </c>
      <c r="I63" s="155">
        <f t="shared" si="13"/>
        <v>0.67248754761207152</v>
      </c>
      <c r="J63" s="155">
        <f t="shared" si="13"/>
        <v>0.84921084581141237</v>
      </c>
      <c r="K63" s="226" t="s">
        <v>70</v>
      </c>
      <c r="L63" s="226"/>
      <c r="M63" s="226"/>
      <c r="N63" s="226"/>
      <c r="O63" s="226"/>
      <c r="P63" s="226"/>
      <c r="Q63" s="226"/>
      <c r="R63" s="226"/>
    </row>
    <row r="64" spans="1:19" ht="14.45" customHeight="1" outlineLevel="1" x14ac:dyDescent="0.25">
      <c r="A64" s="13"/>
      <c r="B64" s="67" t="s">
        <v>71</v>
      </c>
      <c r="C64" s="5" t="s">
        <v>69</v>
      </c>
      <c r="D64" s="155">
        <f t="shared" ref="D64:J64" si="14">D38/(D38+D36)</f>
        <v>8.4058070152020506E-2</v>
      </c>
      <c r="E64" s="155">
        <f t="shared" si="14"/>
        <v>0.13850584186627643</v>
      </c>
      <c r="F64" s="155">
        <f t="shared" si="14"/>
        <v>0.20129628600097976</v>
      </c>
      <c r="G64" s="155">
        <f t="shared" si="14"/>
        <v>1</v>
      </c>
      <c r="H64" s="155">
        <f t="shared" si="14"/>
        <v>0.57167442481120079</v>
      </c>
      <c r="I64" s="155">
        <f t="shared" si="14"/>
        <v>0.57167442481120079</v>
      </c>
      <c r="J64" s="155">
        <f t="shared" si="14"/>
        <v>0.78543980579588957</v>
      </c>
      <c r="K64" s="226" t="s">
        <v>72</v>
      </c>
      <c r="L64" s="226"/>
      <c r="M64" s="226"/>
      <c r="N64" s="226"/>
      <c r="O64" s="226"/>
      <c r="P64" s="226"/>
      <c r="Q64" s="226"/>
      <c r="R64" s="226"/>
    </row>
    <row r="65" spans="1:42" ht="14.45" customHeight="1" outlineLevel="1" x14ac:dyDescent="0.25">
      <c r="A65" s="13"/>
      <c r="B65" s="67" t="s">
        <v>73</v>
      </c>
      <c r="C65" s="5" t="s">
        <v>69</v>
      </c>
      <c r="D65" s="155">
        <f t="shared" ref="D65:J65" si="15">D37/(D36+D38)</f>
        <v>0.63453699950822662</v>
      </c>
      <c r="E65" s="155">
        <f t="shared" si="15"/>
        <v>0.51820178183426158</v>
      </c>
      <c r="F65" s="155">
        <f t="shared" si="15"/>
        <v>0.55331789239207629</v>
      </c>
      <c r="G65" s="155">
        <f t="shared" si="15"/>
        <v>0</v>
      </c>
      <c r="H65" s="155">
        <f t="shared" si="15"/>
        <v>0.14991076512694834</v>
      </c>
      <c r="I65" s="155">
        <f t="shared" si="15"/>
        <v>0.14991076512694834</v>
      </c>
      <c r="J65" s="155">
        <f t="shared" si="15"/>
        <v>7.5094471920681027E-2</v>
      </c>
      <c r="K65" s="226" t="s">
        <v>74</v>
      </c>
      <c r="L65" s="226"/>
      <c r="M65" s="226"/>
      <c r="N65" s="226"/>
      <c r="O65" s="226"/>
      <c r="P65" s="226"/>
      <c r="Q65" s="226"/>
      <c r="R65" s="226"/>
    </row>
    <row r="66" spans="1:42" ht="14.45" customHeight="1" outlineLevel="1" x14ac:dyDescent="0.25">
      <c r="A66" s="13"/>
      <c r="D66" s="72"/>
      <c r="E66" s="72"/>
      <c r="F66" s="72"/>
      <c r="G66" s="72"/>
      <c r="H66" s="72"/>
      <c r="I66" s="72"/>
      <c r="J66" s="72"/>
      <c r="K66" s="44"/>
      <c r="L66" s="44"/>
      <c r="M66" s="44"/>
      <c r="N66" s="44"/>
      <c r="O66" s="44"/>
      <c r="P66" s="44"/>
      <c r="Q66" s="44"/>
      <c r="R66" s="44"/>
    </row>
    <row r="67" spans="1:42" s="73" customFormat="1" ht="18" thickBot="1" x14ac:dyDescent="0.35">
      <c r="A67" s="73" t="s">
        <v>190</v>
      </c>
    </row>
    <row r="68" spans="1:42" ht="15.75" thickTop="1" x14ac:dyDescent="0.25"/>
    <row r="69" spans="1:42" outlineLevel="1" x14ac:dyDescent="0.25">
      <c r="B69" s="6" t="s">
        <v>129</v>
      </c>
      <c r="C69" s="6" t="s">
        <v>61</v>
      </c>
      <c r="D69" s="39" t="str">
        <f>"Variant"&amp;" "&amp;$A$17</f>
        <v>Variant 1a</v>
      </c>
      <c r="E69" s="39" t="str">
        <f>"Variant"&amp;" "&amp;$A$18</f>
        <v>Variant 1b</v>
      </c>
      <c r="F69" s="39" t="str">
        <f>"Variant"&amp;" "&amp;$A$19</f>
        <v>Variant 1c</v>
      </c>
      <c r="G69" s="39" t="str">
        <f>"Variant"&amp;" "&amp;$A$20</f>
        <v>Variant 1d</v>
      </c>
      <c r="H69" s="39" t="str">
        <f>"Variant"&amp;" "&amp;$A$21</f>
        <v>Variant 1e</v>
      </c>
      <c r="I69" s="39" t="str">
        <f>"Variant"&amp;" "&amp;$A$22</f>
        <v>Variant 1f</v>
      </c>
      <c r="J69" s="39" t="str">
        <f>"Variant"&amp;" "&amp;$A$23</f>
        <v>Variant 1g</v>
      </c>
      <c r="K69" s="225" t="s">
        <v>32</v>
      </c>
      <c r="L69" s="225"/>
      <c r="M69" s="225"/>
      <c r="N69" s="225"/>
      <c r="O69" s="225" t="s">
        <v>33</v>
      </c>
      <c r="P69" s="225"/>
      <c r="Q69" s="225"/>
      <c r="R69" s="225"/>
      <c r="S69" s="107"/>
      <c r="T69" s="107"/>
      <c r="W69" s="69"/>
    </row>
    <row r="70" spans="1:42" ht="43.35" customHeight="1" outlineLevel="1" x14ac:dyDescent="0.25">
      <c r="B70" s="42" t="s">
        <v>129</v>
      </c>
      <c r="C70" s="5" t="s">
        <v>130</v>
      </c>
      <c r="D70" s="10">
        <v>30</v>
      </c>
      <c r="E70" s="10">
        <v>30</v>
      </c>
      <c r="F70" s="10">
        <v>30</v>
      </c>
      <c r="G70" s="10">
        <v>30</v>
      </c>
      <c r="H70" s="10">
        <v>15</v>
      </c>
      <c r="I70" s="10">
        <v>15</v>
      </c>
      <c r="J70" s="10">
        <v>15</v>
      </c>
      <c r="K70" s="226" t="s">
        <v>131</v>
      </c>
      <c r="L70" s="226"/>
      <c r="M70" s="226"/>
      <c r="N70" s="226"/>
      <c r="O70" s="226" t="s">
        <v>466</v>
      </c>
      <c r="P70" s="226"/>
      <c r="Q70" s="226"/>
      <c r="R70" s="226"/>
      <c r="S70" s="173"/>
      <c r="T70" s="173"/>
      <c r="W70" s="44"/>
    </row>
    <row r="71" spans="1:42" outlineLevel="1" x14ac:dyDescent="0.25"/>
    <row r="72" spans="1:42" outlineLevel="1" x14ac:dyDescent="0.25">
      <c r="B72" s="6" t="s">
        <v>143</v>
      </c>
      <c r="C72" s="6" t="s">
        <v>61</v>
      </c>
      <c r="D72" s="39" t="s">
        <v>133</v>
      </c>
      <c r="E72" s="240" t="s">
        <v>32</v>
      </c>
      <c r="F72" s="241"/>
      <c r="G72" s="241"/>
      <c r="H72" s="241"/>
      <c r="I72" s="241"/>
      <c r="J72" s="241"/>
      <c r="K72" s="242"/>
      <c r="L72" s="240" t="s">
        <v>33</v>
      </c>
      <c r="M72" s="241"/>
      <c r="N72" s="241"/>
      <c r="O72" s="241"/>
      <c r="P72" s="241"/>
      <c r="Q72" s="241"/>
      <c r="R72" s="242"/>
    </row>
    <row r="73" spans="1:42" ht="43.35" customHeight="1" outlineLevel="1" x14ac:dyDescent="0.25">
      <c r="B73" s="42" t="s">
        <v>134</v>
      </c>
      <c r="C73" s="5" t="s">
        <v>69</v>
      </c>
      <c r="D73" s="55">
        <f>'Distributor assumptions'!$C$7</f>
        <v>4.6299999999999994E-2</v>
      </c>
      <c r="E73" s="236" t="s">
        <v>191</v>
      </c>
      <c r="F73" s="237"/>
      <c r="G73" s="237"/>
      <c r="H73" s="237"/>
      <c r="I73" s="237"/>
      <c r="J73" s="237"/>
      <c r="K73" s="238"/>
      <c r="L73" s="236" t="s">
        <v>451</v>
      </c>
      <c r="M73" s="237"/>
      <c r="N73" s="237"/>
      <c r="O73" s="237"/>
      <c r="P73" s="237"/>
      <c r="Q73" s="237"/>
      <c r="R73" s="238"/>
    </row>
    <row r="74" spans="1:42" outlineLevel="1" x14ac:dyDescent="0.25">
      <c r="A74" s="13"/>
      <c r="B74" s="7"/>
      <c r="D74" s="37"/>
      <c r="E74" s="37"/>
      <c r="F74" s="37"/>
      <c r="G74" s="37"/>
      <c r="H74" s="37"/>
      <c r="I74" s="37"/>
      <c r="J74" s="37"/>
    </row>
    <row r="75" spans="1:42" outlineLevel="1" x14ac:dyDescent="0.25">
      <c r="B75" s="6" t="s">
        <v>76</v>
      </c>
      <c r="C75" s="6" t="s">
        <v>61</v>
      </c>
      <c r="D75" s="225" t="s">
        <v>32</v>
      </c>
      <c r="E75" s="225"/>
      <c r="F75" s="225"/>
      <c r="G75" s="225"/>
      <c r="H75" s="225" t="s">
        <v>33</v>
      </c>
      <c r="I75" s="225"/>
      <c r="J75" s="225"/>
      <c r="K75" s="225"/>
      <c r="L75" s="6">
        <v>0</v>
      </c>
      <c r="M75" s="6">
        <v>1</v>
      </c>
      <c r="N75" s="6">
        <v>2</v>
      </c>
      <c r="O75" s="6">
        <v>3</v>
      </c>
      <c r="P75" s="6">
        <v>4</v>
      </c>
      <c r="Q75" s="6">
        <v>5</v>
      </c>
      <c r="R75" s="6">
        <v>6</v>
      </c>
      <c r="S75" s="6">
        <v>7</v>
      </c>
      <c r="T75" s="6">
        <v>8</v>
      </c>
      <c r="U75" s="6">
        <v>9</v>
      </c>
      <c r="V75" s="6">
        <v>10</v>
      </c>
      <c r="W75" s="6">
        <v>11</v>
      </c>
      <c r="X75" s="6">
        <v>12</v>
      </c>
      <c r="Y75" s="6">
        <v>13</v>
      </c>
      <c r="Z75" s="6">
        <v>14</v>
      </c>
      <c r="AA75" s="6">
        <v>15</v>
      </c>
      <c r="AB75" s="6">
        <v>16</v>
      </c>
      <c r="AC75" s="6">
        <v>17</v>
      </c>
      <c r="AD75" s="6">
        <v>18</v>
      </c>
      <c r="AE75" s="6">
        <v>19</v>
      </c>
      <c r="AF75" s="6">
        <v>20</v>
      </c>
      <c r="AG75" s="6">
        <v>21</v>
      </c>
      <c r="AH75" s="6">
        <v>22</v>
      </c>
      <c r="AI75" s="6">
        <v>23</v>
      </c>
      <c r="AJ75" s="6">
        <v>24</v>
      </c>
      <c r="AK75" s="6">
        <v>25</v>
      </c>
      <c r="AL75" s="6">
        <v>26</v>
      </c>
      <c r="AM75" s="6">
        <v>27</v>
      </c>
      <c r="AN75" s="6">
        <v>28</v>
      </c>
      <c r="AO75" s="6">
        <v>29</v>
      </c>
      <c r="AP75" s="6">
        <v>30</v>
      </c>
    </row>
    <row r="76" spans="1:42" outlineLevel="1" x14ac:dyDescent="0.25">
      <c r="B76" s="5" t="s">
        <v>140</v>
      </c>
      <c r="C76" s="5" t="s">
        <v>141</v>
      </c>
      <c r="D76" s="223" t="s">
        <v>193</v>
      </c>
      <c r="E76" s="223"/>
      <c r="F76" s="223"/>
      <c r="G76" s="223"/>
      <c r="H76" s="223"/>
      <c r="I76" s="223"/>
      <c r="J76" s="223"/>
      <c r="K76" s="223"/>
      <c r="L76" s="76">
        <v>2026</v>
      </c>
      <c r="M76" s="76">
        <f>L76+1</f>
        <v>2027</v>
      </c>
      <c r="N76" s="76">
        <f t="shared" ref="N76:AP76" si="16">M76+1</f>
        <v>2028</v>
      </c>
      <c r="O76" s="76">
        <f t="shared" si="16"/>
        <v>2029</v>
      </c>
      <c r="P76" s="76">
        <f t="shared" si="16"/>
        <v>2030</v>
      </c>
      <c r="Q76" s="76">
        <f t="shared" si="16"/>
        <v>2031</v>
      </c>
      <c r="R76" s="76">
        <f t="shared" si="16"/>
        <v>2032</v>
      </c>
      <c r="S76" s="76">
        <f t="shared" si="16"/>
        <v>2033</v>
      </c>
      <c r="T76" s="76">
        <f t="shared" si="16"/>
        <v>2034</v>
      </c>
      <c r="U76" s="76">
        <f t="shared" si="16"/>
        <v>2035</v>
      </c>
      <c r="V76" s="76">
        <f t="shared" si="16"/>
        <v>2036</v>
      </c>
      <c r="W76" s="76">
        <f t="shared" si="16"/>
        <v>2037</v>
      </c>
      <c r="X76" s="76">
        <f t="shared" si="16"/>
        <v>2038</v>
      </c>
      <c r="Y76" s="76">
        <f t="shared" si="16"/>
        <v>2039</v>
      </c>
      <c r="Z76" s="76">
        <f t="shared" si="16"/>
        <v>2040</v>
      </c>
      <c r="AA76" s="76">
        <f t="shared" si="16"/>
        <v>2041</v>
      </c>
      <c r="AB76" s="76">
        <f t="shared" si="16"/>
        <v>2042</v>
      </c>
      <c r="AC76" s="76">
        <f t="shared" si="16"/>
        <v>2043</v>
      </c>
      <c r="AD76" s="76">
        <f t="shared" si="16"/>
        <v>2044</v>
      </c>
      <c r="AE76" s="76">
        <f t="shared" si="16"/>
        <v>2045</v>
      </c>
      <c r="AF76" s="76">
        <f t="shared" si="16"/>
        <v>2046</v>
      </c>
      <c r="AG76" s="76">
        <f t="shared" si="16"/>
        <v>2047</v>
      </c>
      <c r="AH76" s="76">
        <f t="shared" si="16"/>
        <v>2048</v>
      </c>
      <c r="AI76" s="76">
        <f t="shared" si="16"/>
        <v>2049</v>
      </c>
      <c r="AJ76" s="76">
        <f t="shared" si="16"/>
        <v>2050</v>
      </c>
      <c r="AK76" s="76">
        <f t="shared" si="16"/>
        <v>2051</v>
      </c>
      <c r="AL76" s="76">
        <f t="shared" si="16"/>
        <v>2052</v>
      </c>
      <c r="AM76" s="76">
        <f t="shared" si="16"/>
        <v>2053</v>
      </c>
      <c r="AN76" s="76">
        <f t="shared" si="16"/>
        <v>2054</v>
      </c>
      <c r="AO76" s="76">
        <f t="shared" si="16"/>
        <v>2055</v>
      </c>
      <c r="AP76" s="76">
        <f t="shared" si="16"/>
        <v>2056</v>
      </c>
    </row>
    <row r="77" spans="1:42" ht="28.5" customHeight="1" outlineLevel="1" x14ac:dyDescent="0.25">
      <c r="B77" s="5" t="s">
        <v>143</v>
      </c>
      <c r="C77" s="5" t="s">
        <v>144</v>
      </c>
      <c r="D77" s="223" t="s">
        <v>145</v>
      </c>
      <c r="E77" s="223"/>
      <c r="F77" s="223"/>
      <c r="G77" s="223"/>
      <c r="H77" s="223" t="s">
        <v>194</v>
      </c>
      <c r="I77" s="223"/>
      <c r="J77" s="223"/>
      <c r="K77" s="223"/>
      <c r="L77" s="62">
        <f>1</f>
        <v>1</v>
      </c>
      <c r="M77" s="20">
        <f>1/(1+$D$73)^M75</f>
        <v>0.95574882920768423</v>
      </c>
      <c r="N77" s="20">
        <f t="shared" ref="N77:AP77" si="17">1/(1+$D$73)^N75</f>
        <v>0.91345582453185914</v>
      </c>
      <c r="O77" s="20">
        <f t="shared" si="17"/>
        <v>0.87303433482926418</v>
      </c>
      <c r="P77" s="20">
        <f t="shared" si="17"/>
        <v>0.83440154337117856</v>
      </c>
      <c r="Q77" s="20">
        <f t="shared" si="17"/>
        <v>0.79747829816608862</v>
      </c>
      <c r="R77" s="20">
        <f t="shared" si="17"/>
        <v>0.76218894979077567</v>
      </c>
      <c r="S77" s="20">
        <f t="shared" si="17"/>
        <v>0.72846119639756823</v>
      </c>
      <c r="T77" s="20">
        <f t="shared" si="17"/>
        <v>0.69622593558020462</v>
      </c>
      <c r="U77" s="20">
        <f t="shared" si="17"/>
        <v>0.66541712279480525</v>
      </c>
      <c r="V77" s="20">
        <f t="shared" si="17"/>
        <v>0.63597163604588081</v>
      </c>
      <c r="W77" s="20">
        <f t="shared" si="17"/>
        <v>0.60782914656014608</v>
      </c>
      <c r="X77" s="20">
        <f t="shared" si="17"/>
        <v>0.58093199518316552</v>
      </c>
      <c r="Y77" s="20">
        <f t="shared" si="17"/>
        <v>0.55522507424559442</v>
      </c>
      <c r="Z77" s="20">
        <f t="shared" si="17"/>
        <v>0.53065571465697647</v>
      </c>
      <c r="AA77" s="20">
        <f t="shared" si="17"/>
        <v>0.50717357799577223</v>
      </c>
      <c r="AB77" s="20">
        <f t="shared" si="17"/>
        <v>0.48473055337453136</v>
      </c>
      <c r="AC77" s="20">
        <f t="shared" si="17"/>
        <v>0.46328065886890124</v>
      </c>
      <c r="AD77" s="20">
        <f t="shared" si="17"/>
        <v>0.44277994730851689</v>
      </c>
      <c r="AE77" s="20">
        <f t="shared" si="17"/>
        <v>0.42318641623675513</v>
      </c>
      <c r="AF77" s="20">
        <f t="shared" si="17"/>
        <v>0.40445992185487434</v>
      </c>
      <c r="AG77" s="20">
        <f t="shared" si="17"/>
        <v>0.38656209677422765</v>
      </c>
      <c r="AH77" s="20">
        <f t="shared" si="17"/>
        <v>0.36945627140803561</v>
      </c>
      <c r="AI77" s="20">
        <f t="shared" si="17"/>
        <v>0.35310739884166642</v>
      </c>
      <c r="AJ77" s="20">
        <f t="shared" si="17"/>
        <v>0.33748198302749344</v>
      </c>
      <c r="AK77" s="20">
        <f t="shared" si="17"/>
        <v>0.3225480101572144</v>
      </c>
      <c r="AL77" s="20">
        <f t="shared" si="17"/>
        <v>0.30827488307102585</v>
      </c>
      <c r="AM77" s="20">
        <f t="shared" si="17"/>
        <v>0.29463335856926876</v>
      </c>
      <c r="AN77" s="20">
        <f t="shared" si="17"/>
        <v>0.28159548749810637</v>
      </c>
      <c r="AO77" s="20">
        <f t="shared" si="17"/>
        <v>0.26913455748648224</v>
      </c>
      <c r="AP77" s="20">
        <f t="shared" si="17"/>
        <v>0.25722503821703363</v>
      </c>
    </row>
    <row r="78" spans="1:42" outlineLevel="1" x14ac:dyDescent="0.25">
      <c r="A78" s="13"/>
      <c r="B78" s="7"/>
      <c r="D78" s="37"/>
      <c r="E78" s="37"/>
      <c r="F78" s="37"/>
      <c r="G78" s="37"/>
      <c r="H78" s="37"/>
      <c r="I78" s="37"/>
      <c r="J78" s="37"/>
    </row>
    <row r="79" spans="1:42" s="73" customFormat="1" ht="18" thickBot="1" x14ac:dyDescent="0.35">
      <c r="A79" s="73" t="s">
        <v>195</v>
      </c>
    </row>
    <row r="80" spans="1:42" ht="15.75" outlineLevel="1" thickTop="1" x14ac:dyDescent="0.25">
      <c r="A80" s="4"/>
    </row>
    <row r="81" spans="1:23" s="9" customFormat="1" ht="15.75" outlineLevel="1" thickBot="1" x14ac:dyDescent="0.3">
      <c r="A81" s="9" t="s">
        <v>75</v>
      </c>
    </row>
    <row r="82" spans="1:23" outlineLevel="1" x14ac:dyDescent="0.25"/>
    <row r="83" spans="1:23" outlineLevel="1" x14ac:dyDescent="0.25">
      <c r="B83" s="6" t="s">
        <v>76</v>
      </c>
      <c r="C83" s="6" t="s">
        <v>61</v>
      </c>
      <c r="D83" s="39" t="str">
        <f>"Variant"&amp;" "&amp;$A$17</f>
        <v>Variant 1a</v>
      </c>
      <c r="E83" s="39" t="str">
        <f>"Variant"&amp;" "&amp;$A$18</f>
        <v>Variant 1b</v>
      </c>
      <c r="F83" s="39" t="str">
        <f>"Variant"&amp;" "&amp;$A$19</f>
        <v>Variant 1c</v>
      </c>
      <c r="G83" s="39" t="str">
        <f>"Variant"&amp;" "&amp;$A$20</f>
        <v>Variant 1d</v>
      </c>
      <c r="H83" s="39" t="str">
        <f>"Variant"&amp;" "&amp;$A$21</f>
        <v>Variant 1e</v>
      </c>
      <c r="I83" s="39" t="str">
        <f>"Variant"&amp;" "&amp;$A$22</f>
        <v>Variant 1f</v>
      </c>
      <c r="J83" s="39" t="str">
        <f>"Variant"&amp;" "&amp;$A$23</f>
        <v>Variant 1g</v>
      </c>
      <c r="K83" s="225" t="s">
        <v>32</v>
      </c>
      <c r="L83" s="225"/>
      <c r="M83" s="225"/>
      <c r="N83" s="225"/>
      <c r="O83" s="240" t="s">
        <v>33</v>
      </c>
      <c r="P83" s="241"/>
      <c r="Q83" s="241"/>
      <c r="R83" s="242"/>
    </row>
    <row r="84" spans="1:23" ht="14.45" customHeight="1" outlineLevel="1" x14ac:dyDescent="0.25">
      <c r="B84" s="5" t="s">
        <v>47</v>
      </c>
      <c r="C84" s="5" t="s">
        <v>35</v>
      </c>
      <c r="D84" s="10">
        <v>1330</v>
      </c>
      <c r="E84" s="10">
        <v>2330</v>
      </c>
      <c r="F84" s="10">
        <v>3652.5</v>
      </c>
      <c r="G84" s="10">
        <v>2722.5</v>
      </c>
      <c r="H84" s="10">
        <v>11476</v>
      </c>
      <c r="I84" s="10">
        <v>11476</v>
      </c>
      <c r="J84" s="10">
        <v>31476</v>
      </c>
      <c r="K84" s="226" t="s">
        <v>77</v>
      </c>
      <c r="L84" s="226"/>
      <c r="M84" s="226"/>
      <c r="N84" s="226"/>
      <c r="O84" s="236" t="s">
        <v>78</v>
      </c>
      <c r="P84" s="237"/>
      <c r="Q84" s="237"/>
      <c r="R84" s="238"/>
    </row>
    <row r="85" spans="1:23" outlineLevel="1" x14ac:dyDescent="0.25">
      <c r="B85" s="8"/>
    </row>
    <row r="86" spans="1:23" s="73" customFormat="1" ht="18" thickBot="1" x14ac:dyDescent="0.35">
      <c r="A86" s="73" t="s">
        <v>196</v>
      </c>
    </row>
    <row r="87" spans="1:23" ht="15.75" outlineLevel="1" thickTop="1" x14ac:dyDescent="0.25">
      <c r="B87" s="8"/>
    </row>
    <row r="88" spans="1:23" s="9" customFormat="1" ht="15.75" outlineLevel="1" thickBot="1" x14ac:dyDescent="0.3">
      <c r="A88" s="9" t="s">
        <v>197</v>
      </c>
    </row>
    <row r="89" spans="1:23" outlineLevel="1" x14ac:dyDescent="0.25">
      <c r="B89" s="8"/>
    </row>
    <row r="90" spans="1:23" ht="14.45" customHeight="1" outlineLevel="2" x14ac:dyDescent="0.25">
      <c r="B90" s="5"/>
      <c r="C90" s="6" t="s">
        <v>61</v>
      </c>
      <c r="D90" s="39" t="str">
        <f>"Variant"&amp;" "&amp;$A$17</f>
        <v>Variant 1a</v>
      </c>
      <c r="E90" s="39" t="str">
        <f>"Variant"&amp;" "&amp;$A$18</f>
        <v>Variant 1b</v>
      </c>
      <c r="F90" s="39" t="str">
        <f>"Variant"&amp;" "&amp;$A$19</f>
        <v>Variant 1c</v>
      </c>
      <c r="G90" s="39" t="str">
        <f>"Variant"&amp;" "&amp;$A$20</f>
        <v>Variant 1d</v>
      </c>
      <c r="H90" s="39" t="str">
        <f>"Variant"&amp;" "&amp;$A$21</f>
        <v>Variant 1e</v>
      </c>
      <c r="I90" s="39" t="str">
        <f>"Variant"&amp;" "&amp;$A$22</f>
        <v>Variant 1f</v>
      </c>
      <c r="J90" s="39" t="str">
        <f>"Variant"&amp;" "&amp;$A$23</f>
        <v>Variant 1g</v>
      </c>
      <c r="K90" s="240" t="s">
        <v>32</v>
      </c>
      <c r="L90" s="241"/>
      <c r="M90" s="241"/>
      <c r="N90" s="241"/>
      <c r="O90" s="241"/>
      <c r="P90" s="242"/>
      <c r="Q90" s="225" t="s">
        <v>33</v>
      </c>
      <c r="R90" s="225"/>
      <c r="S90" s="225"/>
      <c r="T90" s="225"/>
      <c r="U90" s="225"/>
      <c r="V90" s="225"/>
      <c r="W90" s="225"/>
    </row>
    <row r="91" spans="1:23" ht="14.25" customHeight="1" outlineLevel="2" x14ac:dyDescent="0.25">
      <c r="B91" s="5" t="s">
        <v>81</v>
      </c>
      <c r="C91" s="5" t="s">
        <v>35</v>
      </c>
      <c r="D91" s="10">
        <v>1900</v>
      </c>
      <c r="E91" s="10">
        <v>1900</v>
      </c>
      <c r="F91" s="10">
        <v>1900</v>
      </c>
      <c r="G91" s="10">
        <v>1400</v>
      </c>
      <c r="H91" s="10">
        <v>15985</v>
      </c>
      <c r="I91" s="10">
        <v>15985</v>
      </c>
      <c r="J91" s="10">
        <v>15985</v>
      </c>
      <c r="K91" s="236" t="s">
        <v>82</v>
      </c>
      <c r="L91" s="237"/>
      <c r="M91" s="237"/>
      <c r="N91" s="237"/>
      <c r="O91" s="237"/>
      <c r="P91" s="238"/>
      <c r="Q91" s="226" t="s">
        <v>78</v>
      </c>
      <c r="R91" s="226"/>
      <c r="S91" s="226"/>
      <c r="T91" s="226"/>
      <c r="U91" s="226"/>
      <c r="V91" s="226"/>
      <c r="W91" s="226"/>
    </row>
    <row r="92" spans="1:23" ht="14.25" customHeight="1" outlineLevel="2" x14ac:dyDescent="0.25">
      <c r="A92" s="156" t="s">
        <v>42</v>
      </c>
      <c r="B92" s="5" t="s">
        <v>198</v>
      </c>
      <c r="C92" s="5" t="s">
        <v>35</v>
      </c>
      <c r="D92" s="10">
        <v>0</v>
      </c>
      <c r="E92" s="10">
        <v>1000</v>
      </c>
      <c r="F92" s="10">
        <v>1000</v>
      </c>
      <c r="G92" s="10">
        <v>0</v>
      </c>
      <c r="H92" s="10">
        <v>0</v>
      </c>
      <c r="I92" s="10">
        <v>0</v>
      </c>
      <c r="J92" s="10">
        <v>0</v>
      </c>
      <c r="K92" s="236" t="s">
        <v>83</v>
      </c>
      <c r="L92" s="237"/>
      <c r="M92" s="237"/>
      <c r="N92" s="237"/>
      <c r="O92" s="237"/>
      <c r="P92" s="238"/>
      <c r="Q92" s="226" t="s">
        <v>253</v>
      </c>
      <c r="R92" s="226"/>
      <c r="S92" s="226"/>
      <c r="T92" s="226"/>
      <c r="U92" s="226"/>
      <c r="V92" s="226"/>
      <c r="W92" s="226"/>
    </row>
    <row r="93" spans="1:23" ht="14.25" customHeight="1" outlineLevel="2" x14ac:dyDescent="0.25">
      <c r="A93" s="156" t="s">
        <v>42</v>
      </c>
      <c r="B93" s="5" t="s">
        <v>84</v>
      </c>
      <c r="C93" s="5" t="s">
        <v>35</v>
      </c>
      <c r="D93" s="10">
        <v>0</v>
      </c>
      <c r="E93" s="10">
        <v>0</v>
      </c>
      <c r="F93" s="10">
        <v>0</v>
      </c>
      <c r="G93" s="10">
        <v>0</v>
      </c>
      <c r="H93" s="10">
        <v>0</v>
      </c>
      <c r="I93" s="10">
        <v>0</v>
      </c>
      <c r="J93" s="10">
        <v>20000</v>
      </c>
      <c r="K93" s="236" t="s">
        <v>85</v>
      </c>
      <c r="L93" s="237"/>
      <c r="M93" s="237"/>
      <c r="N93" s="237"/>
      <c r="O93" s="237"/>
      <c r="P93" s="238"/>
      <c r="Q93" s="226" t="s">
        <v>467</v>
      </c>
      <c r="R93" s="226"/>
      <c r="S93" s="226"/>
      <c r="T93" s="226"/>
      <c r="U93" s="226"/>
      <c r="V93" s="226"/>
      <c r="W93" s="226"/>
    </row>
    <row r="94" spans="1:23" ht="14.25" customHeight="1" outlineLevel="2" x14ac:dyDescent="0.25">
      <c r="A94" s="156" t="s">
        <v>42</v>
      </c>
      <c r="B94" s="5" t="s">
        <v>86</v>
      </c>
      <c r="C94" s="5" t="s">
        <v>35</v>
      </c>
      <c r="D94" s="10">
        <v>0</v>
      </c>
      <c r="E94" s="10">
        <v>0</v>
      </c>
      <c r="F94" s="10">
        <v>0</v>
      </c>
      <c r="G94" s="10">
        <v>0</v>
      </c>
      <c r="H94" s="10">
        <v>0</v>
      </c>
      <c r="I94" s="10">
        <v>0</v>
      </c>
      <c r="J94" s="10">
        <v>0</v>
      </c>
      <c r="K94" s="236" t="s">
        <v>87</v>
      </c>
      <c r="L94" s="237"/>
      <c r="M94" s="237"/>
      <c r="N94" s="237"/>
      <c r="O94" s="237"/>
      <c r="P94" s="238"/>
      <c r="Q94" s="226" t="s">
        <v>468</v>
      </c>
      <c r="R94" s="226"/>
      <c r="S94" s="226"/>
      <c r="T94" s="226"/>
      <c r="U94" s="226"/>
      <c r="V94" s="226"/>
      <c r="W94" s="226"/>
    </row>
    <row r="95" spans="1:23" ht="28.9" customHeight="1" outlineLevel="2" x14ac:dyDescent="0.25">
      <c r="A95" s="156" t="s">
        <v>42</v>
      </c>
      <c r="B95" s="5" t="s">
        <v>117</v>
      </c>
      <c r="C95" s="5" t="s">
        <v>35</v>
      </c>
      <c r="D95" s="26">
        <f>D127</f>
        <v>3882.5</v>
      </c>
      <c r="E95" s="26">
        <f>E127</f>
        <v>5205</v>
      </c>
      <c r="F95" s="26">
        <f t="shared" ref="F95:J95" si="18">F127</f>
        <v>5205</v>
      </c>
      <c r="G95" s="26">
        <f t="shared" si="18"/>
        <v>1322.5</v>
      </c>
      <c r="H95" s="26">
        <f t="shared" si="18"/>
        <v>1080</v>
      </c>
      <c r="I95" s="26">
        <f t="shared" si="18"/>
        <v>1080</v>
      </c>
      <c r="J95" s="26">
        <f t="shared" si="18"/>
        <v>1080</v>
      </c>
      <c r="K95" s="236" t="s">
        <v>256</v>
      </c>
      <c r="L95" s="237"/>
      <c r="M95" s="237"/>
      <c r="N95" s="237"/>
      <c r="O95" s="237"/>
      <c r="P95" s="238"/>
      <c r="Q95" s="226" t="s">
        <v>469</v>
      </c>
      <c r="R95" s="226"/>
      <c r="S95" s="226"/>
      <c r="T95" s="226"/>
      <c r="U95" s="226"/>
      <c r="V95" s="226"/>
      <c r="W95" s="226"/>
    </row>
    <row r="96" spans="1:23" ht="14.25" customHeight="1" outlineLevel="2" x14ac:dyDescent="0.25">
      <c r="A96" s="156" t="s">
        <v>42</v>
      </c>
      <c r="B96" s="5" t="s">
        <v>200</v>
      </c>
      <c r="C96" s="5" t="s">
        <v>35</v>
      </c>
      <c r="D96" s="10">
        <v>0</v>
      </c>
      <c r="E96" s="10">
        <v>0</v>
      </c>
      <c r="F96" s="10">
        <v>0</v>
      </c>
      <c r="G96" s="10">
        <v>0</v>
      </c>
      <c r="H96" s="10">
        <v>0</v>
      </c>
      <c r="I96" s="10">
        <v>0</v>
      </c>
      <c r="J96" s="10">
        <v>0</v>
      </c>
      <c r="K96" s="236" t="s">
        <v>257</v>
      </c>
      <c r="L96" s="237"/>
      <c r="M96" s="237"/>
      <c r="N96" s="237"/>
      <c r="O96" s="237"/>
      <c r="P96" s="238"/>
      <c r="Q96" s="226" t="s">
        <v>468</v>
      </c>
      <c r="R96" s="226"/>
      <c r="S96" s="226"/>
      <c r="T96" s="226"/>
      <c r="U96" s="226"/>
      <c r="V96" s="226"/>
      <c r="W96" s="226"/>
    </row>
    <row r="97" spans="1:23" ht="14.25" customHeight="1" outlineLevel="2" x14ac:dyDescent="0.25">
      <c r="A97" s="156" t="s">
        <v>42</v>
      </c>
      <c r="B97" s="5" t="s">
        <v>201</v>
      </c>
      <c r="C97" s="5" t="s">
        <v>35</v>
      </c>
      <c r="D97" s="10">
        <v>0</v>
      </c>
      <c r="E97" s="10">
        <v>0</v>
      </c>
      <c r="F97" s="10">
        <v>0</v>
      </c>
      <c r="G97" s="10">
        <v>0</v>
      </c>
      <c r="H97" s="10">
        <v>0</v>
      </c>
      <c r="I97" s="10">
        <v>0</v>
      </c>
      <c r="J97" s="10">
        <v>0</v>
      </c>
      <c r="K97" s="236" t="s">
        <v>259</v>
      </c>
      <c r="L97" s="237"/>
      <c r="M97" s="237"/>
      <c r="N97" s="237"/>
      <c r="O97" s="237"/>
      <c r="P97" s="238"/>
      <c r="Q97" s="226" t="s">
        <v>470</v>
      </c>
      <c r="R97" s="226"/>
      <c r="S97" s="226"/>
      <c r="T97" s="226"/>
      <c r="U97" s="226"/>
      <c r="V97" s="226"/>
      <c r="W97" s="226"/>
    </row>
    <row r="98" spans="1:23" ht="14.25" customHeight="1" outlineLevel="2" x14ac:dyDescent="0.25">
      <c r="A98" s="156" t="s">
        <v>38</v>
      </c>
      <c r="B98" s="5" t="s">
        <v>202</v>
      </c>
      <c r="C98" s="5" t="s">
        <v>35</v>
      </c>
      <c r="D98" s="10">
        <v>0</v>
      </c>
      <c r="E98" s="10">
        <v>0</v>
      </c>
      <c r="F98" s="10">
        <v>0</v>
      </c>
      <c r="G98" s="10">
        <v>0</v>
      </c>
      <c r="H98" s="10">
        <v>0</v>
      </c>
      <c r="I98" s="10">
        <v>0</v>
      </c>
      <c r="J98" s="10">
        <v>0</v>
      </c>
      <c r="K98" s="236" t="s">
        <v>261</v>
      </c>
      <c r="L98" s="237"/>
      <c r="M98" s="237"/>
      <c r="N98" s="237"/>
      <c r="O98" s="237"/>
      <c r="P98" s="238"/>
      <c r="Q98" s="226" t="s">
        <v>470</v>
      </c>
      <c r="R98" s="226"/>
      <c r="S98" s="226"/>
      <c r="T98" s="226"/>
      <c r="U98" s="226"/>
      <c r="V98" s="226"/>
      <c r="W98" s="226"/>
    </row>
    <row r="99" spans="1:23" ht="15.75" outlineLevel="2" thickBot="1" x14ac:dyDescent="0.3">
      <c r="A99" s="156" t="s">
        <v>46</v>
      </c>
      <c r="B99" s="17" t="s">
        <v>34</v>
      </c>
      <c r="C99" s="16" t="s">
        <v>35</v>
      </c>
      <c r="D99" s="98">
        <f>SUM(D91:D98)</f>
        <v>5782.5</v>
      </c>
      <c r="E99" s="98">
        <f>SUM(E91:E98)</f>
        <v>8105</v>
      </c>
      <c r="F99" s="98">
        <f t="shared" ref="F99:J99" si="19">SUM(F91:F98)</f>
        <v>8105</v>
      </c>
      <c r="G99" s="98">
        <f t="shared" si="19"/>
        <v>2722.5</v>
      </c>
      <c r="H99" s="98">
        <f t="shared" si="19"/>
        <v>17065</v>
      </c>
      <c r="I99" s="98">
        <f t="shared" si="19"/>
        <v>17065</v>
      </c>
      <c r="J99" s="98">
        <f t="shared" si="19"/>
        <v>37065</v>
      </c>
      <c r="K99" s="236"/>
      <c r="L99" s="237"/>
      <c r="M99" s="237"/>
      <c r="N99" s="237"/>
      <c r="O99" s="237"/>
      <c r="P99" s="238"/>
      <c r="Q99" s="226"/>
      <c r="R99" s="226"/>
      <c r="S99" s="226"/>
      <c r="T99" s="226"/>
      <c r="U99" s="226"/>
      <c r="V99" s="226"/>
      <c r="W99" s="226"/>
    </row>
    <row r="100" spans="1:23" ht="15.75" outlineLevel="2" thickTop="1" x14ac:dyDescent="0.25"/>
    <row r="101" spans="1:23" s="9" customFormat="1" ht="15.75" outlineLevel="1" thickBot="1" x14ac:dyDescent="0.3">
      <c r="A101" s="9" t="s">
        <v>203</v>
      </c>
    </row>
    <row r="102" spans="1:23" outlineLevel="1" x14ac:dyDescent="0.25">
      <c r="B102" s="8"/>
    </row>
    <row r="103" spans="1:23" outlineLevel="1" x14ac:dyDescent="0.25">
      <c r="A103" s="21" t="s">
        <v>204</v>
      </c>
      <c r="B103" s="8"/>
    </row>
    <row r="104" spans="1:23" ht="14.45" customHeight="1" outlineLevel="1" x14ac:dyDescent="0.25">
      <c r="B104" s="8"/>
      <c r="C104" s="6" t="s">
        <v>61</v>
      </c>
      <c r="D104" s="39" t="str">
        <f>"Variant"&amp;" "&amp;$A$17</f>
        <v>Variant 1a</v>
      </c>
      <c r="E104" s="39" t="str">
        <f>"Variant"&amp;" "&amp;$A$18</f>
        <v>Variant 1b</v>
      </c>
      <c r="F104" s="39" t="str">
        <f>"Variant"&amp;" "&amp;$A$19</f>
        <v>Variant 1c</v>
      </c>
      <c r="G104" s="39" t="str">
        <f>"Variant"&amp;" "&amp;$A$20</f>
        <v>Variant 1d</v>
      </c>
      <c r="H104" s="39" t="str">
        <f>"Variant"&amp;" "&amp;$A$21</f>
        <v>Variant 1e</v>
      </c>
      <c r="I104" s="39" t="str">
        <f>"Variant"&amp;" "&amp;$A$22</f>
        <v>Variant 1f</v>
      </c>
      <c r="J104" s="39" t="str">
        <f>"Variant"&amp;" "&amp;$A$23</f>
        <v>Variant 1g</v>
      </c>
      <c r="K104" s="225" t="s">
        <v>32</v>
      </c>
      <c r="L104" s="225"/>
      <c r="M104" s="225"/>
      <c r="N104" s="225"/>
      <c r="O104" s="225" t="s">
        <v>33</v>
      </c>
      <c r="P104" s="225"/>
      <c r="Q104" s="225"/>
      <c r="R104" s="225"/>
    </row>
    <row r="105" spans="1:23" ht="14.45" customHeight="1" outlineLevel="1" x14ac:dyDescent="0.25">
      <c r="B105" s="5" t="s">
        <v>88</v>
      </c>
      <c r="C105" s="5" t="s">
        <v>89</v>
      </c>
      <c r="D105" s="172" t="s">
        <v>90</v>
      </c>
      <c r="E105" s="172" t="s">
        <v>90</v>
      </c>
      <c r="F105" s="172" t="s">
        <v>90</v>
      </c>
      <c r="G105" s="172" t="s">
        <v>90</v>
      </c>
      <c r="H105" s="172" t="s">
        <v>91</v>
      </c>
      <c r="I105" s="172" t="s">
        <v>91</v>
      </c>
      <c r="J105" s="172" t="s">
        <v>91</v>
      </c>
      <c r="K105" s="226" t="s">
        <v>92</v>
      </c>
      <c r="L105" s="226"/>
      <c r="M105" s="226"/>
      <c r="N105" s="226"/>
      <c r="O105" s="226" t="s">
        <v>263</v>
      </c>
      <c r="P105" s="226"/>
      <c r="Q105" s="226"/>
      <c r="R105" s="226"/>
    </row>
    <row r="106" spans="1:23" ht="14.45" customHeight="1" outlineLevel="1" x14ac:dyDescent="0.25">
      <c r="B106" s="7"/>
      <c r="C106" s="31"/>
      <c r="D106" s="33"/>
      <c r="E106" s="33"/>
      <c r="F106" s="33"/>
      <c r="G106" s="33"/>
      <c r="H106" s="33"/>
      <c r="I106" s="33"/>
      <c r="J106" s="33"/>
      <c r="K106" s="31"/>
      <c r="L106" s="24"/>
      <c r="M106" s="24"/>
      <c r="O106" s="23"/>
    </row>
    <row r="107" spans="1:23" ht="14.45" customHeight="1" outlineLevel="1" x14ac:dyDescent="0.25">
      <c r="B107" s="6" t="s">
        <v>93</v>
      </c>
      <c r="C107" s="6" t="s">
        <v>61</v>
      </c>
      <c r="D107" s="39" t="str">
        <f>"Variant"&amp;" "&amp;$A$17</f>
        <v>Variant 1a</v>
      </c>
      <c r="E107" s="39" t="str">
        <f>"Variant"&amp;" "&amp;$A$18</f>
        <v>Variant 1b</v>
      </c>
      <c r="F107" s="39" t="str">
        <f>"Variant"&amp;" "&amp;$A$19</f>
        <v>Variant 1c</v>
      </c>
      <c r="G107" s="39" t="str">
        <f>"Variant"&amp;" "&amp;$A$20</f>
        <v>Variant 1d</v>
      </c>
      <c r="H107" s="39" t="str">
        <f>"Variant"&amp;" "&amp;$A$21</f>
        <v>Variant 1e</v>
      </c>
      <c r="I107" s="39" t="str">
        <f>"Variant"&amp;" "&amp;$A$22</f>
        <v>Variant 1f</v>
      </c>
      <c r="J107" s="39" t="str">
        <f>"Variant"&amp;" "&amp;$A$23</f>
        <v>Variant 1g</v>
      </c>
      <c r="K107" s="225" t="s">
        <v>32</v>
      </c>
      <c r="L107" s="225" t="s">
        <v>79</v>
      </c>
      <c r="M107" s="225" t="s">
        <v>80</v>
      </c>
      <c r="N107" s="225"/>
      <c r="O107" s="225" t="s">
        <v>33</v>
      </c>
      <c r="P107" s="225"/>
      <c r="Q107" s="225"/>
      <c r="R107" s="225"/>
    </row>
    <row r="108" spans="1:23" ht="14.45" customHeight="1" outlineLevel="1" x14ac:dyDescent="0.25">
      <c r="B108" s="42" t="s">
        <v>94</v>
      </c>
      <c r="C108" s="5" t="s">
        <v>95</v>
      </c>
      <c r="D108" s="26">
        <f>IF(D$105="","",_xlfn.XLOOKUP(D$105,'Network costing zones'!$D$4:$F$4,'Network costing zones'!$D5:$F5,"error"))</f>
        <v>240</v>
      </c>
      <c r="E108" s="26">
        <f>IF(E$105="","",_xlfn.XLOOKUP(E$105,'Network costing zones'!$D$4:$F$4,'Network costing zones'!$D5:$F5,"error"))</f>
        <v>240</v>
      </c>
      <c r="F108" s="26">
        <f>IF(F$105="","",_xlfn.XLOOKUP(F$105,'Network costing zones'!$D$4:$F$4,'Network costing zones'!$D5:$F5,"error"))</f>
        <v>240</v>
      </c>
      <c r="G108" s="26">
        <f>IF(G$105="","",_xlfn.XLOOKUP(G$105,'Network costing zones'!$D$4:$F$4,'Network costing zones'!$D5:$F5,"error"))</f>
        <v>240</v>
      </c>
      <c r="H108" s="26">
        <f>IF(H$105="","",_xlfn.XLOOKUP(H$105,'Network costing zones'!$D$4:$F$4,'Network costing zones'!$D5:$F5,"error"))</f>
        <v>0</v>
      </c>
      <c r="I108" s="26">
        <f>IF(I$105="","",_xlfn.XLOOKUP(I$105,'Network costing zones'!$D$4:$F$4,'Network costing zones'!$D5:$F5,"error"))</f>
        <v>0</v>
      </c>
      <c r="J108" s="26">
        <f>IF(J$105="","",_xlfn.XLOOKUP(J$105,'Network costing zones'!$D$4:$F$4,'Network costing zones'!$D5:$F5,"error"))</f>
        <v>0</v>
      </c>
      <c r="K108" s="226" t="s">
        <v>96</v>
      </c>
      <c r="L108" s="226"/>
      <c r="M108" s="226"/>
      <c r="N108" s="226"/>
      <c r="O108" s="227" t="s">
        <v>264</v>
      </c>
      <c r="P108" s="228"/>
      <c r="Q108" s="228"/>
      <c r="R108" s="229"/>
    </row>
    <row r="109" spans="1:23" ht="14.45" customHeight="1" outlineLevel="1" x14ac:dyDescent="0.25">
      <c r="B109" s="42" t="s">
        <v>97</v>
      </c>
      <c r="C109" s="5" t="s">
        <v>95</v>
      </c>
      <c r="D109" s="26">
        <f>IF(D$105="","",_xlfn.XLOOKUP(D$105,'Network costing zones'!$D$4:$F$4,'Network costing zones'!$D6:$F6,"error"))</f>
        <v>600</v>
      </c>
      <c r="E109" s="26">
        <f>IF(E$105="","",_xlfn.XLOOKUP(E$105,'Network costing zones'!$D$4:$F$4,'Network costing zones'!$D6:$F6,"error"))</f>
        <v>600</v>
      </c>
      <c r="F109" s="26">
        <f>IF(F$105="","",_xlfn.XLOOKUP(F$105,'Network costing zones'!$D$4:$F$4,'Network costing zones'!$D6:$F6,"error"))</f>
        <v>600</v>
      </c>
      <c r="G109" s="26">
        <f>IF(G$105="","",_xlfn.XLOOKUP(G$105,'Network costing zones'!$D$4:$F$4,'Network costing zones'!$D6:$F6,"error"))</f>
        <v>600</v>
      </c>
      <c r="H109" s="26">
        <f>IF(H$105="","",_xlfn.XLOOKUP(H$105,'Network costing zones'!$D$4:$F$4,'Network costing zones'!$D6:$F6,"error"))</f>
        <v>0</v>
      </c>
      <c r="I109" s="26">
        <f>IF(I$105="","",_xlfn.XLOOKUP(I$105,'Network costing zones'!$D$4:$F$4,'Network costing zones'!$D6:$F6,"error"))</f>
        <v>0</v>
      </c>
      <c r="J109" s="26">
        <f>IF(J$105="","",_xlfn.XLOOKUP(J$105,'Network costing zones'!$D$4:$F$4,'Network costing zones'!$D6:$F6,"error"))</f>
        <v>0</v>
      </c>
      <c r="K109" s="226" t="s">
        <v>98</v>
      </c>
      <c r="L109" s="226"/>
      <c r="M109" s="226"/>
      <c r="N109" s="226"/>
      <c r="O109" s="230"/>
      <c r="P109" s="231"/>
      <c r="Q109" s="231"/>
      <c r="R109" s="232"/>
    </row>
    <row r="110" spans="1:23" ht="14.45" customHeight="1" outlineLevel="1" x14ac:dyDescent="0.25">
      <c r="B110" s="42" t="s">
        <v>99</v>
      </c>
      <c r="C110" s="5" t="s">
        <v>95</v>
      </c>
      <c r="D110" s="26">
        <f>IF(D$105="","",_xlfn.XLOOKUP(D$105,'Network costing zones'!$D$4:$F$4,'Network costing zones'!$D7:$F7,"error"))</f>
        <v>85</v>
      </c>
      <c r="E110" s="26">
        <f>IF(E$105="","",_xlfn.XLOOKUP(E$105,'Network costing zones'!$D$4:$F$4,'Network costing zones'!$D7:$F7,"error"))</f>
        <v>85</v>
      </c>
      <c r="F110" s="26">
        <f>IF(F$105="","",_xlfn.XLOOKUP(F$105,'Network costing zones'!$D$4:$F$4,'Network costing zones'!$D7:$F7,"error"))</f>
        <v>85</v>
      </c>
      <c r="G110" s="26">
        <f>IF(G$105="","",_xlfn.XLOOKUP(G$105,'Network costing zones'!$D$4:$F$4,'Network costing zones'!$D7:$F7,"error"))</f>
        <v>85</v>
      </c>
      <c r="H110" s="26">
        <f>IF(H$105="","",_xlfn.XLOOKUP(H$105,'Network costing zones'!$D$4:$F$4,'Network costing zones'!$D7:$F7,"error"))</f>
        <v>85</v>
      </c>
      <c r="I110" s="26">
        <f>IF(I$105="","",_xlfn.XLOOKUP(I$105,'Network costing zones'!$D$4:$F$4,'Network costing zones'!$D7:$F7,"error"))</f>
        <v>85</v>
      </c>
      <c r="J110" s="26">
        <f>IF(J$105="","",_xlfn.XLOOKUP(J$105,'Network costing zones'!$D$4:$F$4,'Network costing zones'!$D7:$F7,"error"))</f>
        <v>85</v>
      </c>
      <c r="K110" s="226" t="s">
        <v>100</v>
      </c>
      <c r="L110" s="226"/>
      <c r="M110" s="226"/>
      <c r="N110" s="226"/>
      <c r="O110" s="230"/>
      <c r="P110" s="231"/>
      <c r="Q110" s="231"/>
      <c r="R110" s="232"/>
    </row>
    <row r="111" spans="1:23" ht="14.45" customHeight="1" outlineLevel="1" x14ac:dyDescent="0.25">
      <c r="B111" s="42" t="s">
        <v>101</v>
      </c>
      <c r="C111" s="5" t="s">
        <v>95</v>
      </c>
      <c r="D111" s="26">
        <f>IF(D$105="","",_xlfn.XLOOKUP(D$105,'Network costing zones'!$D$4:$F$4,'Network costing zones'!$D8:$F8,"error"))</f>
        <v>380</v>
      </c>
      <c r="E111" s="26">
        <f>IF(E$105="","",_xlfn.XLOOKUP(E$105,'Network costing zones'!$D$4:$F$4,'Network costing zones'!$D8:$F8,"error"))</f>
        <v>380</v>
      </c>
      <c r="F111" s="26">
        <f>IF(F$105="","",_xlfn.XLOOKUP(F$105,'Network costing zones'!$D$4:$F$4,'Network costing zones'!$D8:$F8,"error"))</f>
        <v>380</v>
      </c>
      <c r="G111" s="26">
        <f>IF(G$105="","",_xlfn.XLOOKUP(G$105,'Network costing zones'!$D$4:$F$4,'Network costing zones'!$D8:$F8,"error"))</f>
        <v>380</v>
      </c>
      <c r="H111" s="26">
        <f>IF(H$105="","",_xlfn.XLOOKUP(H$105,'Network costing zones'!$D$4:$F$4,'Network costing zones'!$D8:$F8,"error"))</f>
        <v>380</v>
      </c>
      <c r="I111" s="26">
        <f>IF(I$105="","",_xlfn.XLOOKUP(I$105,'Network costing zones'!$D$4:$F$4,'Network costing zones'!$D8:$F8,"error"))</f>
        <v>380</v>
      </c>
      <c r="J111" s="26">
        <f>IF(J$105="","",_xlfn.XLOOKUP(J$105,'Network costing zones'!$D$4:$F$4,'Network costing zones'!$D8:$F8,"error"))</f>
        <v>380</v>
      </c>
      <c r="K111" s="226" t="s">
        <v>102</v>
      </c>
      <c r="L111" s="226"/>
      <c r="M111" s="226"/>
      <c r="N111" s="226"/>
      <c r="O111" s="230"/>
      <c r="P111" s="231"/>
      <c r="Q111" s="231"/>
      <c r="R111" s="232"/>
    </row>
    <row r="112" spans="1:23" ht="14.45" customHeight="1" outlineLevel="1" x14ac:dyDescent="0.25">
      <c r="B112" s="42" t="s">
        <v>103</v>
      </c>
      <c r="C112" s="5" t="s">
        <v>95</v>
      </c>
      <c r="D112" s="26">
        <f>IF(D$105="","",_xlfn.XLOOKUP(D$105,'Network costing zones'!$D$4:$F$4,'Network costing zones'!$D9:$F9,"error"))</f>
        <v>140</v>
      </c>
      <c r="E112" s="26">
        <f>IF(E$105="","",_xlfn.XLOOKUP(E$105,'Network costing zones'!$D$4:$F$4,'Network costing zones'!$D9:$F9,"error"))</f>
        <v>140</v>
      </c>
      <c r="F112" s="26">
        <f>IF(F$105="","",_xlfn.XLOOKUP(F$105,'Network costing zones'!$D$4:$F$4,'Network costing zones'!$D9:$F9,"error"))</f>
        <v>140</v>
      </c>
      <c r="G112" s="26">
        <f>IF(G$105="","",_xlfn.XLOOKUP(G$105,'Network costing zones'!$D$4:$F$4,'Network costing zones'!$D9:$F9,"error"))</f>
        <v>140</v>
      </c>
      <c r="H112" s="26">
        <f>IF(H$105="","",_xlfn.XLOOKUP(H$105,'Network costing zones'!$D$4:$F$4,'Network costing zones'!$D9:$F9,"error"))</f>
        <v>100</v>
      </c>
      <c r="I112" s="26">
        <f>IF(I$105="","",_xlfn.XLOOKUP(I$105,'Network costing zones'!$D$4:$F$4,'Network costing zones'!$D9:$F9,"error"))</f>
        <v>100</v>
      </c>
      <c r="J112" s="26">
        <f>IF(J$105="","",_xlfn.XLOOKUP(J$105,'Network costing zones'!$D$4:$F$4,'Network costing zones'!$D9:$F9,"error"))</f>
        <v>100</v>
      </c>
      <c r="K112" s="226" t="s">
        <v>104</v>
      </c>
      <c r="L112" s="226"/>
      <c r="M112" s="226"/>
      <c r="N112" s="226"/>
      <c r="O112" s="233"/>
      <c r="P112" s="234"/>
      <c r="Q112" s="234"/>
      <c r="R112" s="235"/>
    </row>
    <row r="113" spans="1:18" ht="14.45" customHeight="1" outlineLevel="1" x14ac:dyDescent="0.25">
      <c r="B113" s="32"/>
      <c r="D113" s="27"/>
      <c r="E113" s="27"/>
      <c r="F113" s="27"/>
      <c r="G113" s="27"/>
      <c r="H113" s="27"/>
      <c r="I113" s="27"/>
      <c r="J113" s="27"/>
      <c r="K113" s="24"/>
      <c r="L113" s="24"/>
      <c r="M113" s="24"/>
    </row>
    <row r="114" spans="1:18" ht="14.45" customHeight="1" outlineLevel="1" x14ac:dyDescent="0.25">
      <c r="B114" s="6" t="s">
        <v>105</v>
      </c>
      <c r="C114" s="6" t="s">
        <v>61</v>
      </c>
      <c r="D114" s="39" t="str">
        <f>"Variant"&amp;" "&amp;$A$17</f>
        <v>Variant 1a</v>
      </c>
      <c r="E114" s="39" t="str">
        <f>"Variant"&amp;" "&amp;$A$18</f>
        <v>Variant 1b</v>
      </c>
      <c r="F114" s="39" t="str">
        <f>"Variant"&amp;" "&amp;$A$19</f>
        <v>Variant 1c</v>
      </c>
      <c r="G114" s="39" t="str">
        <f>"Variant"&amp;" "&amp;$A$20</f>
        <v>Variant 1d</v>
      </c>
      <c r="H114" s="39" t="str">
        <f>"Variant"&amp;" "&amp;$A$21</f>
        <v>Variant 1e</v>
      </c>
      <c r="I114" s="39" t="str">
        <f>"Variant"&amp;" "&amp;$A$22</f>
        <v>Variant 1f</v>
      </c>
      <c r="J114" s="39" t="str">
        <f>"Variant"&amp;" "&amp;$A$23</f>
        <v>Variant 1g</v>
      </c>
      <c r="K114" s="225" t="s">
        <v>32</v>
      </c>
      <c r="L114" s="225" t="s">
        <v>79</v>
      </c>
      <c r="M114" s="225" t="s">
        <v>80</v>
      </c>
      <c r="N114" s="225"/>
      <c r="O114" s="225" t="s">
        <v>33</v>
      </c>
      <c r="P114" s="225"/>
      <c r="Q114" s="225"/>
      <c r="R114" s="225"/>
    </row>
    <row r="115" spans="1:18" ht="14.45" customHeight="1" outlineLevel="1" x14ac:dyDescent="0.25">
      <c r="B115" s="42" t="s">
        <v>94</v>
      </c>
      <c r="C115" s="5" t="s">
        <v>106</v>
      </c>
      <c r="D115" s="11">
        <v>5</v>
      </c>
      <c r="E115" s="11">
        <v>8</v>
      </c>
      <c r="F115" s="11">
        <v>8</v>
      </c>
      <c r="G115" s="11">
        <f>E115-D115</f>
        <v>3</v>
      </c>
      <c r="H115" s="11">
        <v>4</v>
      </c>
      <c r="I115" s="11">
        <v>4</v>
      </c>
      <c r="J115" s="11">
        <v>4</v>
      </c>
      <c r="K115" s="226" t="s">
        <v>107</v>
      </c>
      <c r="L115" s="226"/>
      <c r="M115" s="226"/>
      <c r="N115" s="226"/>
      <c r="O115" s="227" t="s">
        <v>78</v>
      </c>
      <c r="P115" s="228"/>
      <c r="Q115" s="228"/>
      <c r="R115" s="229"/>
    </row>
    <row r="116" spans="1:18" ht="14.45" customHeight="1" outlineLevel="1" x14ac:dyDescent="0.25">
      <c r="B116" s="42" t="s">
        <v>97</v>
      </c>
      <c r="C116" s="5" t="s">
        <v>106</v>
      </c>
      <c r="D116" s="11">
        <v>2.5</v>
      </c>
      <c r="E116" s="11">
        <v>3</v>
      </c>
      <c r="F116" s="11">
        <v>3</v>
      </c>
      <c r="G116" s="11">
        <f t="shared" ref="G116:G119" si="20">E116-D116</f>
        <v>0.5</v>
      </c>
      <c r="H116" s="11">
        <v>4</v>
      </c>
      <c r="I116" s="11">
        <v>4</v>
      </c>
      <c r="J116" s="11">
        <v>4</v>
      </c>
      <c r="K116" s="226" t="s">
        <v>108</v>
      </c>
      <c r="L116" s="226"/>
      <c r="M116" s="226"/>
      <c r="N116" s="226"/>
      <c r="O116" s="230"/>
      <c r="P116" s="231"/>
      <c r="Q116" s="231"/>
      <c r="R116" s="232"/>
    </row>
    <row r="117" spans="1:18" ht="14.45" customHeight="1" outlineLevel="1" x14ac:dyDescent="0.25">
      <c r="B117" s="42" t="s">
        <v>99</v>
      </c>
      <c r="C117" s="5" t="s">
        <v>106</v>
      </c>
      <c r="D117" s="11">
        <v>2.5</v>
      </c>
      <c r="E117" s="11">
        <v>3</v>
      </c>
      <c r="F117" s="11">
        <v>3</v>
      </c>
      <c r="G117" s="11">
        <f t="shared" si="20"/>
        <v>0.5</v>
      </c>
      <c r="H117" s="11">
        <v>2</v>
      </c>
      <c r="I117" s="11">
        <v>2</v>
      </c>
      <c r="J117" s="11">
        <v>2</v>
      </c>
      <c r="K117" s="226" t="s">
        <v>109</v>
      </c>
      <c r="L117" s="226"/>
      <c r="M117" s="226"/>
      <c r="N117" s="226"/>
      <c r="O117" s="230"/>
      <c r="P117" s="231"/>
      <c r="Q117" s="231"/>
      <c r="R117" s="232"/>
    </row>
    <row r="118" spans="1:18" ht="14.45" customHeight="1" outlineLevel="1" x14ac:dyDescent="0.25">
      <c r="B118" s="42" t="s">
        <v>101</v>
      </c>
      <c r="C118" s="5" t="s">
        <v>106</v>
      </c>
      <c r="D118" s="11">
        <v>2</v>
      </c>
      <c r="E118" s="11">
        <v>2.5</v>
      </c>
      <c r="F118" s="11">
        <v>2.5</v>
      </c>
      <c r="G118" s="11">
        <f t="shared" si="20"/>
        <v>0.5</v>
      </c>
      <c r="H118" s="11">
        <v>2</v>
      </c>
      <c r="I118" s="11">
        <v>2</v>
      </c>
      <c r="J118" s="11">
        <v>2</v>
      </c>
      <c r="K118" s="226" t="s">
        <v>110</v>
      </c>
      <c r="L118" s="226"/>
      <c r="M118" s="226"/>
      <c r="N118" s="226"/>
      <c r="O118" s="230"/>
      <c r="P118" s="231"/>
      <c r="Q118" s="231"/>
      <c r="R118" s="232"/>
    </row>
    <row r="119" spans="1:18" ht="14.45" customHeight="1" outlineLevel="1" x14ac:dyDescent="0.25">
      <c r="B119" s="42" t="s">
        <v>103</v>
      </c>
      <c r="C119" s="5" t="s">
        <v>106</v>
      </c>
      <c r="D119" s="11">
        <v>1.5</v>
      </c>
      <c r="E119" s="11">
        <v>2</v>
      </c>
      <c r="F119" s="11">
        <v>2</v>
      </c>
      <c r="G119" s="11">
        <f t="shared" si="20"/>
        <v>0.5</v>
      </c>
      <c r="H119" s="11">
        <v>1.5</v>
      </c>
      <c r="I119" s="11">
        <v>1.5</v>
      </c>
      <c r="J119" s="11">
        <v>1.5</v>
      </c>
      <c r="K119" s="226" t="s">
        <v>111</v>
      </c>
      <c r="L119" s="226"/>
      <c r="M119" s="226"/>
      <c r="N119" s="226"/>
      <c r="O119" s="233"/>
      <c r="P119" s="234"/>
      <c r="Q119" s="234"/>
      <c r="R119" s="235"/>
    </row>
    <row r="120" spans="1:18" outlineLevel="1" x14ac:dyDescent="0.25">
      <c r="B120" s="8"/>
    </row>
    <row r="121" spans="1:18" outlineLevel="3" x14ac:dyDescent="0.25">
      <c r="B121" s="5"/>
      <c r="C121" s="6" t="s">
        <v>61</v>
      </c>
      <c r="D121" s="39" t="str">
        <f>"Variant"&amp;" "&amp;$A$17</f>
        <v>Variant 1a</v>
      </c>
      <c r="E121" s="39" t="str">
        <f>"Variant"&amp;" "&amp;$A$18</f>
        <v>Variant 1b</v>
      </c>
      <c r="F121" s="39" t="str">
        <f>"Variant"&amp;" "&amp;$A$19</f>
        <v>Variant 1c</v>
      </c>
      <c r="G121" s="39" t="str">
        <f>"Variant"&amp;" "&amp;$A$20</f>
        <v>Variant 1d</v>
      </c>
      <c r="H121" s="39" t="str">
        <f>"Variant"&amp;" "&amp;$A$21</f>
        <v>Variant 1e</v>
      </c>
      <c r="I121" s="39" t="str">
        <f>"Variant"&amp;" "&amp;$A$22</f>
        <v>Variant 1f</v>
      </c>
      <c r="J121" s="39" t="str">
        <f>"Variant"&amp;" "&amp;$A$23</f>
        <v>Variant 1g</v>
      </c>
      <c r="K121" s="225" t="s">
        <v>32</v>
      </c>
      <c r="L121" s="225" t="s">
        <v>79</v>
      </c>
      <c r="M121" s="225" t="s">
        <v>80</v>
      </c>
      <c r="N121" s="225"/>
      <c r="O121" s="225" t="s">
        <v>33</v>
      </c>
      <c r="P121" s="225"/>
      <c r="Q121" s="225"/>
      <c r="R121" s="225"/>
    </row>
    <row r="122" spans="1:18" ht="14.45" customHeight="1" outlineLevel="3" x14ac:dyDescent="0.25">
      <c r="A122" s="13"/>
      <c r="B122" s="5" t="str">
        <f>B108</f>
        <v>Low voltage mains (LV)</v>
      </c>
      <c r="C122" s="5" t="s">
        <v>35</v>
      </c>
      <c r="D122" s="45">
        <f t="shared" ref="D122:J126" si="21">D108*D115</f>
        <v>1200</v>
      </c>
      <c r="E122" s="45">
        <f t="shared" si="21"/>
        <v>1920</v>
      </c>
      <c r="F122" s="45">
        <f t="shared" si="21"/>
        <v>1920</v>
      </c>
      <c r="G122" s="45">
        <f t="shared" si="21"/>
        <v>720</v>
      </c>
      <c r="H122" s="45">
        <f t="shared" si="21"/>
        <v>0</v>
      </c>
      <c r="I122" s="45">
        <f t="shared" si="21"/>
        <v>0</v>
      </c>
      <c r="J122" s="45">
        <f t="shared" si="21"/>
        <v>0</v>
      </c>
      <c r="K122" s="226" t="s">
        <v>112</v>
      </c>
      <c r="L122" s="226"/>
      <c r="M122" s="226"/>
      <c r="N122" s="226"/>
      <c r="O122" s="226"/>
      <c r="P122" s="226"/>
      <c r="Q122" s="226"/>
      <c r="R122" s="226"/>
    </row>
    <row r="123" spans="1:18" ht="14.45" customHeight="1" outlineLevel="3" x14ac:dyDescent="0.25">
      <c r="A123" s="13" t="s">
        <v>42</v>
      </c>
      <c r="B123" s="5" t="str">
        <f>B109</f>
        <v>Distribution substation (DS)</v>
      </c>
      <c r="C123" s="5" t="s">
        <v>35</v>
      </c>
      <c r="D123" s="45">
        <f t="shared" si="21"/>
        <v>1500</v>
      </c>
      <c r="E123" s="45">
        <f t="shared" si="21"/>
        <v>1800</v>
      </c>
      <c r="F123" s="45">
        <f t="shared" si="21"/>
        <v>1800</v>
      </c>
      <c r="G123" s="45">
        <f t="shared" si="21"/>
        <v>300</v>
      </c>
      <c r="H123" s="45">
        <f t="shared" si="21"/>
        <v>0</v>
      </c>
      <c r="I123" s="45">
        <f t="shared" si="21"/>
        <v>0</v>
      </c>
      <c r="J123" s="45">
        <f t="shared" si="21"/>
        <v>0</v>
      </c>
      <c r="K123" s="226" t="s">
        <v>113</v>
      </c>
      <c r="L123" s="226"/>
      <c r="M123" s="226"/>
      <c r="N123" s="226"/>
      <c r="O123" s="226"/>
      <c r="P123" s="226"/>
      <c r="Q123" s="226"/>
      <c r="R123" s="226"/>
    </row>
    <row r="124" spans="1:18" ht="14.45" customHeight="1" outlineLevel="3" x14ac:dyDescent="0.25">
      <c r="A124" s="13" t="s">
        <v>42</v>
      </c>
      <c r="B124" s="5" t="str">
        <f>B110</f>
        <v>High voltage feeder (HVF)</v>
      </c>
      <c r="C124" s="5" t="s">
        <v>35</v>
      </c>
      <c r="D124" s="45">
        <f t="shared" si="21"/>
        <v>212.5</v>
      </c>
      <c r="E124" s="45">
        <f t="shared" si="21"/>
        <v>255</v>
      </c>
      <c r="F124" s="45">
        <f t="shared" si="21"/>
        <v>255</v>
      </c>
      <c r="G124" s="45">
        <f t="shared" si="21"/>
        <v>42.5</v>
      </c>
      <c r="H124" s="45">
        <f t="shared" si="21"/>
        <v>170</v>
      </c>
      <c r="I124" s="45">
        <f t="shared" si="21"/>
        <v>170</v>
      </c>
      <c r="J124" s="45">
        <f t="shared" si="21"/>
        <v>170</v>
      </c>
      <c r="K124" s="226" t="s">
        <v>114</v>
      </c>
      <c r="L124" s="226"/>
      <c r="M124" s="226"/>
      <c r="N124" s="226"/>
      <c r="O124" s="226"/>
      <c r="P124" s="226"/>
      <c r="Q124" s="226"/>
      <c r="R124" s="226"/>
    </row>
    <row r="125" spans="1:18" ht="14.45" customHeight="1" outlineLevel="3" x14ac:dyDescent="0.25">
      <c r="A125" s="13" t="s">
        <v>42</v>
      </c>
      <c r="B125" s="5" t="str">
        <f>B111</f>
        <v>Zone substation (ZS)</v>
      </c>
      <c r="C125" s="5" t="s">
        <v>35</v>
      </c>
      <c r="D125" s="45">
        <f t="shared" si="21"/>
        <v>760</v>
      </c>
      <c r="E125" s="45">
        <f t="shared" si="21"/>
        <v>950</v>
      </c>
      <c r="F125" s="45">
        <f t="shared" si="21"/>
        <v>950</v>
      </c>
      <c r="G125" s="45">
        <f t="shared" si="21"/>
        <v>190</v>
      </c>
      <c r="H125" s="45">
        <f t="shared" si="21"/>
        <v>760</v>
      </c>
      <c r="I125" s="45">
        <f t="shared" si="21"/>
        <v>760</v>
      </c>
      <c r="J125" s="45">
        <f t="shared" si="21"/>
        <v>760</v>
      </c>
      <c r="K125" s="226" t="s">
        <v>115</v>
      </c>
      <c r="L125" s="226"/>
      <c r="M125" s="226"/>
      <c r="N125" s="226"/>
      <c r="O125" s="226"/>
      <c r="P125" s="226"/>
      <c r="Q125" s="226"/>
      <c r="R125" s="226"/>
    </row>
    <row r="126" spans="1:18" ht="14.45" customHeight="1" outlineLevel="3" x14ac:dyDescent="0.25">
      <c r="A126" s="13" t="s">
        <v>42</v>
      </c>
      <c r="B126" s="5" t="str">
        <f>B112</f>
        <v>Sub-transmission line (STL)</v>
      </c>
      <c r="C126" s="5" t="s">
        <v>35</v>
      </c>
      <c r="D126" s="45">
        <f t="shared" si="21"/>
        <v>210</v>
      </c>
      <c r="E126" s="45">
        <f t="shared" si="21"/>
        <v>280</v>
      </c>
      <c r="F126" s="45">
        <f t="shared" si="21"/>
        <v>280</v>
      </c>
      <c r="G126" s="45">
        <f t="shared" si="21"/>
        <v>70</v>
      </c>
      <c r="H126" s="45">
        <f t="shared" si="21"/>
        <v>150</v>
      </c>
      <c r="I126" s="45">
        <f t="shared" si="21"/>
        <v>150</v>
      </c>
      <c r="J126" s="45">
        <f t="shared" si="21"/>
        <v>150</v>
      </c>
      <c r="K126" s="226" t="s">
        <v>116</v>
      </c>
      <c r="L126" s="226"/>
      <c r="M126" s="226"/>
      <c r="N126" s="226"/>
      <c r="O126" s="226"/>
      <c r="P126" s="226"/>
      <c r="Q126" s="226"/>
      <c r="R126" s="226"/>
    </row>
    <row r="127" spans="1:18" ht="15.75" outlineLevel="3" thickBot="1" x14ac:dyDescent="0.3">
      <c r="A127" s="13" t="s">
        <v>46</v>
      </c>
      <c r="B127" s="17" t="s">
        <v>117</v>
      </c>
      <c r="C127" s="16" t="s">
        <v>35</v>
      </c>
      <c r="D127" s="98">
        <f>SUM(D122:D126)</f>
        <v>3882.5</v>
      </c>
      <c r="E127" s="98">
        <f t="shared" ref="E127:J127" si="22">SUM(E122:E126)</f>
        <v>5205</v>
      </c>
      <c r="F127" s="98">
        <f t="shared" si="22"/>
        <v>5205</v>
      </c>
      <c r="G127" s="98">
        <f t="shared" si="22"/>
        <v>1322.5</v>
      </c>
      <c r="H127" s="98">
        <f t="shared" si="22"/>
        <v>1080</v>
      </c>
      <c r="I127" s="98">
        <f t="shared" si="22"/>
        <v>1080</v>
      </c>
      <c r="J127" s="98">
        <f t="shared" si="22"/>
        <v>1080</v>
      </c>
      <c r="K127" s="226"/>
      <c r="L127" s="226"/>
      <c r="M127" s="226"/>
      <c r="N127" s="226"/>
      <c r="O127" s="226"/>
      <c r="P127" s="226"/>
      <c r="Q127" s="226"/>
      <c r="R127" s="226"/>
    </row>
    <row r="128" spans="1:18" ht="15.75" outlineLevel="1" thickTop="1" x14ac:dyDescent="0.25">
      <c r="B128" s="8"/>
    </row>
    <row r="129" spans="1:18" s="73" customFormat="1" ht="18" thickBot="1" x14ac:dyDescent="0.35">
      <c r="A129" s="73" t="s">
        <v>222</v>
      </c>
    </row>
    <row r="130" spans="1:18" ht="15.75" outlineLevel="1" thickTop="1" x14ac:dyDescent="0.25">
      <c r="D130" s="23"/>
      <c r="E130" s="23"/>
      <c r="F130" s="23"/>
      <c r="G130" s="23"/>
      <c r="H130" s="23"/>
      <c r="I130" s="23"/>
      <c r="J130" s="23"/>
      <c r="K130" s="24"/>
      <c r="L130" s="24"/>
      <c r="M130" s="24"/>
    </row>
    <row r="131" spans="1:18" s="9" customFormat="1" ht="15.75" outlineLevel="1" thickBot="1" x14ac:dyDescent="0.3">
      <c r="A131" s="9" t="s">
        <v>223</v>
      </c>
    </row>
    <row r="132" spans="1:18" outlineLevel="1" x14ac:dyDescent="0.25">
      <c r="D132" s="23"/>
      <c r="E132" s="23"/>
      <c r="F132" s="23"/>
      <c r="G132" s="23"/>
      <c r="H132" s="23"/>
      <c r="I132" s="23"/>
      <c r="J132" s="23"/>
      <c r="K132" s="24"/>
      <c r="L132" s="24"/>
      <c r="M132" s="24"/>
    </row>
    <row r="133" spans="1:18" outlineLevel="2" x14ac:dyDescent="0.25">
      <c r="A133" s="13"/>
      <c r="B133" s="7"/>
      <c r="C133" s="6" t="s">
        <v>61</v>
      </c>
      <c r="D133" s="39" t="str">
        <f>"Variant"&amp;" "&amp;$A$17</f>
        <v>Variant 1a</v>
      </c>
      <c r="E133" s="39" t="str">
        <f>"Variant"&amp;" "&amp;$A$18</f>
        <v>Variant 1b</v>
      </c>
      <c r="F133" s="39" t="str">
        <f>"Variant"&amp;" "&amp;$A$19</f>
        <v>Variant 1c</v>
      </c>
      <c r="G133" s="39" t="str">
        <f>"Variant"&amp;" "&amp;$A$20</f>
        <v>Variant 1d</v>
      </c>
      <c r="H133" s="39" t="str">
        <f>"Variant"&amp;" "&amp;$A$21</f>
        <v>Variant 1e</v>
      </c>
      <c r="I133" s="39" t="str">
        <f>"Variant"&amp;" "&amp;$A$22</f>
        <v>Variant 1f</v>
      </c>
      <c r="J133" s="39" t="str">
        <f>"Variant"&amp;" "&amp;$A$23</f>
        <v>Variant 1g</v>
      </c>
      <c r="K133" s="225" t="s">
        <v>32</v>
      </c>
      <c r="L133" s="225"/>
      <c r="M133" s="225"/>
      <c r="N133" s="225"/>
      <c r="O133" s="225" t="s">
        <v>33</v>
      </c>
      <c r="P133" s="225"/>
      <c r="Q133" s="225"/>
      <c r="R133" s="225"/>
    </row>
    <row r="134" spans="1:18" ht="57.6" customHeight="1" outlineLevel="2" x14ac:dyDescent="0.25">
      <c r="A134" s="13"/>
      <c r="B134" s="2" t="s">
        <v>52</v>
      </c>
      <c r="C134" s="5" t="s">
        <v>35</v>
      </c>
      <c r="D134" s="26" cm="1">
        <f t="array" ref="D134">D146*$D$150*SUMPRODUCT(IF($L$75:$AP$75&lt;=D$70,1,0),$L77:$AP77,'Distributor assumptions'!$K15:$AO15,_xlfn.XLOOKUP(D$143,'Cons group &amp; variant assumption'!$A75:$A77,'Cons group &amp; variant assumption'!$O75:$AS77),_xlfn.XLOOKUP(D$143,'Cons group &amp; variant assumption'!$A106:$A114,'Cons group &amp; variant assumption'!$O106:$AS114))</f>
        <v>10669.479970821252</v>
      </c>
      <c r="E134" s="26" cm="1">
        <f t="array" ref="E134">E146*$D$150*SUMPRODUCT(IF($L$75:$AP$75&lt;=E$70,1,0),$L77:$AP77,'Distributor assumptions'!$K15:$AO15,_xlfn.XLOOKUP(E$143,'Cons group &amp; variant assumption'!$A75:$A77,'Cons group &amp; variant assumption'!$O75:$AS77),_xlfn.XLOOKUP(E$143,'Cons group &amp; variant assumption'!$A106:$A114,'Cons group &amp; variant assumption'!$O106:$AS114))</f>
        <v>10669.479970821252</v>
      </c>
      <c r="F134" s="26" cm="1">
        <f t="array" ref="F134">F146*$D$150*SUMPRODUCT(IF($L$75:$AP$75&lt;=F$70,1,0),$L77:$AP77,'Distributor assumptions'!$K15:$AO15,_xlfn.XLOOKUP(F$143,'Cons group &amp; variant assumption'!$A75:$A77,'Cons group &amp; variant assumption'!$O75:$AS77),_xlfn.XLOOKUP(F$143,'Cons group &amp; variant assumption'!$A106:$A114,'Cons group &amp; variant assumption'!$O106:$AS114))</f>
        <v>10669.479970821252</v>
      </c>
      <c r="G134" s="26" cm="1">
        <f t="array" ref="G134">G146*$D$150*SUMPRODUCT(IF($L$75:$AP$75&lt;=G$70,1,0),$L77:$AP77,'Distributor assumptions'!$K15:$AO15,_xlfn.XLOOKUP(G$143,'Cons group &amp; variant assumption'!$A75:$A77,'Cons group &amp; variant assumption'!$O75:$AS77),_xlfn.XLOOKUP(G$143,'Cons group &amp; variant assumption'!$A106:$A114,'Cons group &amp; variant assumption'!$O106:$AS114))</f>
        <v>0</v>
      </c>
      <c r="H134" s="26" cm="1">
        <f t="array" ref="H134">H146*$D$150*SUMPRODUCT(IF($L$75:$AP$75&lt;=H$70,1,0),$L77:$AP77,'Distributor assumptions'!$K15:$AO15,_xlfn.XLOOKUP(H$143,'Cons group &amp; variant assumption'!$A75:$A77,'Cons group &amp; variant assumption'!$O75:$AS77),_xlfn.XLOOKUP(H$143,'Cons group &amp; variant assumption'!$A106:$A114,'Cons group &amp; variant assumption'!$O106:$AS114))</f>
        <v>4774.6209081754723</v>
      </c>
      <c r="I134" s="26" cm="1">
        <f t="array" ref="I134">I146*$D$150*SUMPRODUCT(IF($L$75:$AP$75&lt;=I$70,1,0),$L77:$AP77,'Distributor assumptions'!$K15:$AO15,_xlfn.XLOOKUP(I$143,'Cons group &amp; variant assumption'!$A75:$A77,'Cons group &amp; variant assumption'!$O75:$AS77),_xlfn.XLOOKUP(I$143,'Cons group &amp; variant assumption'!$A106:$A114,'Cons group &amp; variant assumption'!$O106:$AS114))</f>
        <v>4774.6209081754723</v>
      </c>
      <c r="J134" s="26" cm="1">
        <f t="array" ref="J134">J146*$D$150*SUMPRODUCT(IF($L$75:$AP$75&lt;=J$70,1,0),$L77:$AP77,'Distributor assumptions'!$K15:$AO15,_xlfn.XLOOKUP(J$143,'Cons group &amp; variant assumption'!$A75:$A77,'Cons group &amp; variant assumption'!$O75:$AS77),_xlfn.XLOOKUP(J$143,'Cons group &amp; variant assumption'!$A106:$A114,'Cons group &amp; variant assumption'!$O106:$AS114))</f>
        <v>4774.6209081754723</v>
      </c>
      <c r="K134" s="226" t="s">
        <v>154</v>
      </c>
      <c r="L134" s="226"/>
      <c r="M134" s="226"/>
      <c r="N134" s="226"/>
      <c r="O134" s="226" t="s">
        <v>155</v>
      </c>
      <c r="P134" s="226"/>
      <c r="Q134" s="226"/>
      <c r="R134" s="226"/>
    </row>
    <row r="135" spans="1:18" ht="43.35" customHeight="1" outlineLevel="2" x14ac:dyDescent="0.25">
      <c r="A135" s="13" t="s">
        <v>42</v>
      </c>
      <c r="B135" s="2" t="s">
        <v>156</v>
      </c>
      <c r="C135" s="14" t="s">
        <v>35</v>
      </c>
      <c r="D135" s="26" cm="1">
        <f t="array" ref="D135">D147*SUMPRODUCT(IF($L$75:$AP$75&lt;=D$70,1,0),$L77:$AP77,'Distributor assumptions'!$K16:$AO16,_xlfn.XLOOKUP(D$143,'Cons group &amp; variant assumption'!$A88:$A90,'Cons group &amp; variant assumption'!$O88:$AS90),_xlfn.XLOOKUP(D$143,'Cons group &amp; variant assumption'!$A120:$A128,'Cons group &amp; variant assumption'!$O120:$AS128))</f>
        <v>3822.9151614328134</v>
      </c>
      <c r="E135" s="26" cm="1">
        <f t="array" ref="E135">E147*SUMPRODUCT(IF($L$75:$AP$75&lt;=E$70,1,0),$L77:$AP77,'Distributor assumptions'!$K16:$AO16,_xlfn.XLOOKUP(E$143,'Cons group &amp; variant assumption'!$A88:$A90,'Cons group &amp; variant assumption'!$O88:$AS90),_xlfn.XLOOKUP(E$143,'Cons group &amp; variant assumption'!$A120:$A128,'Cons group &amp; variant assumption'!$O120:$AS128))</f>
        <v>3822.9151614328134</v>
      </c>
      <c r="F135" s="26" cm="1">
        <f t="array" ref="F135">F147*SUMPRODUCT(IF($L$75:$AP$75&lt;=F$70,1,0),$L77:$AP77,'Distributor assumptions'!$K16:$AO16,_xlfn.XLOOKUP(F$143,'Cons group &amp; variant assumption'!$A88:$A90,'Cons group &amp; variant assumption'!$O88:$AS90),_xlfn.XLOOKUP(F$143,'Cons group &amp; variant assumption'!$A120:$A128,'Cons group &amp; variant assumption'!$O120:$AS128))</f>
        <v>3822.9151614328134</v>
      </c>
      <c r="G135" s="26" cm="1">
        <f t="array" ref="G135">G147*SUMPRODUCT(IF($L$75:$AP$75&lt;=G$70,1,0),$L77:$AP77,'Distributor assumptions'!$K16:$AO16,_xlfn.XLOOKUP(G$143,'Cons group &amp; variant assumption'!$A88:$A90,'Cons group &amp; variant assumption'!$O88:$AS90),_xlfn.XLOOKUP(G$143,'Cons group &amp; variant assumption'!$A120:$A128,'Cons group &amp; variant assumption'!$O120:$AS128))</f>
        <v>0</v>
      </c>
      <c r="H135" s="26" cm="1">
        <f t="array" ref="H135">H147*SUMPRODUCT(IF($L$75:$AP$75&lt;=H$70,1,0),$L77:$AP77,'Distributor assumptions'!$K16:$AO16,_xlfn.XLOOKUP(H$143,'Cons group &amp; variant assumption'!$A88:$A90,'Cons group &amp; variant assumption'!$O88:$AS90),_xlfn.XLOOKUP(H$143,'Cons group &amp; variant assumption'!$A120:$A128,'Cons group &amp; variant assumption'!$O120:$AS128))</f>
        <v>3823.742229181993</v>
      </c>
      <c r="I135" s="26" cm="1">
        <f t="array" ref="I135">I147*SUMPRODUCT(IF($L$75:$AP$75&lt;=I$70,1,0),$L77:$AP77,'Distributor assumptions'!$K16:$AO16,_xlfn.XLOOKUP(I$143,'Cons group &amp; variant assumption'!$A88:$A90,'Cons group &amp; variant assumption'!$O88:$AS90),_xlfn.XLOOKUP(I$143,'Cons group &amp; variant assumption'!$A120:$A128,'Cons group &amp; variant assumption'!$O120:$AS128))</f>
        <v>3823.742229181993</v>
      </c>
      <c r="J135" s="26" cm="1">
        <f t="array" ref="J135">J147*SUMPRODUCT(IF($L$75:$AP$75&lt;=J$70,1,0),$L77:$AP77,'Distributor assumptions'!$K16:$AO16,_xlfn.XLOOKUP(J$143,'Cons group &amp; variant assumption'!$A88:$A90,'Cons group &amp; variant assumption'!$O88:$AS90),_xlfn.XLOOKUP(J$143,'Cons group &amp; variant assumption'!$A120:$A128,'Cons group &amp; variant assumption'!$O120:$AS128))</f>
        <v>3823.742229181993</v>
      </c>
      <c r="K135" s="226" t="s">
        <v>157</v>
      </c>
      <c r="L135" s="226"/>
      <c r="M135" s="226"/>
      <c r="N135" s="226"/>
      <c r="O135" s="226" t="s">
        <v>158</v>
      </c>
      <c r="P135" s="226"/>
      <c r="Q135" s="226"/>
      <c r="R135" s="226"/>
    </row>
    <row r="136" spans="1:18" ht="15" customHeight="1" outlineLevel="2" thickBot="1" x14ac:dyDescent="0.3">
      <c r="A136" s="13" t="s">
        <v>46</v>
      </c>
      <c r="B136" s="17" t="s">
        <v>159</v>
      </c>
      <c r="C136" s="16" t="s">
        <v>35</v>
      </c>
      <c r="D136" s="98">
        <f>SUM(D134:D135)</f>
        <v>14492.395132254065</v>
      </c>
      <c r="E136" s="98">
        <f t="shared" ref="E136:J136" si="23">SUM(E134:E135)</f>
        <v>14492.395132254065</v>
      </c>
      <c r="F136" s="98">
        <f t="shared" si="23"/>
        <v>14492.395132254065</v>
      </c>
      <c r="G136" s="98">
        <f t="shared" si="23"/>
        <v>0</v>
      </c>
      <c r="H136" s="98">
        <f t="shared" si="23"/>
        <v>8598.3631373574644</v>
      </c>
      <c r="I136" s="98">
        <f t="shared" si="23"/>
        <v>8598.3631373574644</v>
      </c>
      <c r="J136" s="98">
        <f t="shared" si="23"/>
        <v>8598.3631373574644</v>
      </c>
      <c r="K136" s="226"/>
      <c r="L136" s="226"/>
      <c r="M136" s="226"/>
      <c r="N136" s="226"/>
      <c r="O136" s="226"/>
      <c r="P136" s="226"/>
      <c r="Q136" s="226"/>
      <c r="R136" s="226"/>
    </row>
    <row r="137" spans="1:18" ht="15.75" outlineLevel="1" thickTop="1" x14ac:dyDescent="0.25">
      <c r="D137" s="23"/>
      <c r="E137" s="23"/>
      <c r="F137" s="23"/>
      <c r="G137" s="23"/>
      <c r="H137" s="23"/>
      <c r="I137" s="23"/>
      <c r="J137" s="23"/>
      <c r="K137" s="24"/>
      <c r="L137" s="24"/>
      <c r="M137" s="24"/>
    </row>
    <row r="138" spans="1:18" s="9" customFormat="1" ht="15.75" outlineLevel="1" thickBot="1" x14ac:dyDescent="0.3">
      <c r="A138" s="9" t="s">
        <v>203</v>
      </c>
    </row>
    <row r="139" spans="1:18" outlineLevel="1" x14ac:dyDescent="0.25">
      <c r="D139" s="23"/>
      <c r="E139" s="23"/>
      <c r="F139" s="23"/>
      <c r="G139" s="23"/>
      <c r="H139" s="23"/>
      <c r="I139" s="23"/>
      <c r="J139" s="23"/>
      <c r="K139" s="24"/>
      <c r="L139" s="24"/>
      <c r="M139" s="24"/>
    </row>
    <row r="140" spans="1:18" outlineLevel="1" x14ac:dyDescent="0.25">
      <c r="A140" s="43" t="s">
        <v>224</v>
      </c>
      <c r="D140" s="23"/>
      <c r="E140" s="23"/>
      <c r="F140" s="23"/>
      <c r="G140" s="23"/>
      <c r="H140" s="23"/>
      <c r="I140" s="23"/>
      <c r="J140" s="23"/>
      <c r="K140" s="24"/>
      <c r="L140" s="24"/>
      <c r="M140" s="24"/>
    </row>
    <row r="141" spans="1:18" outlineLevel="1" x14ac:dyDescent="0.25">
      <c r="D141" s="23"/>
      <c r="E141" s="23"/>
      <c r="F141" s="23"/>
      <c r="G141" s="23"/>
      <c r="H141" s="23"/>
      <c r="I141" s="23"/>
      <c r="J141" s="23"/>
      <c r="K141" s="24"/>
      <c r="L141" s="24"/>
      <c r="M141" s="24"/>
    </row>
    <row r="142" spans="1:18" outlineLevel="1" x14ac:dyDescent="0.25">
      <c r="B142" s="6"/>
      <c r="C142" s="6" t="s">
        <v>61</v>
      </c>
      <c r="D142" s="39" t="str">
        <f>"Variant"&amp;" "&amp;$A$17</f>
        <v>Variant 1a</v>
      </c>
      <c r="E142" s="39" t="str">
        <f>"Variant"&amp;" "&amp;$A$18</f>
        <v>Variant 1b</v>
      </c>
      <c r="F142" s="39" t="str">
        <f>"Variant"&amp;" "&amp;$A$19</f>
        <v>Variant 1c</v>
      </c>
      <c r="G142" s="39" t="str">
        <f>"Variant"&amp;" "&amp;$A$20</f>
        <v>Variant 1d</v>
      </c>
      <c r="H142" s="39" t="str">
        <f>"Variant"&amp;" "&amp;$A$21</f>
        <v>Variant 1e</v>
      </c>
      <c r="I142" s="39" t="str">
        <f>"Variant"&amp;" "&amp;$A$22</f>
        <v>Variant 1f</v>
      </c>
      <c r="J142" s="39" t="str">
        <f>"Variant"&amp;" "&amp;$A$23</f>
        <v>Variant 1g</v>
      </c>
      <c r="K142" s="225" t="s">
        <v>32</v>
      </c>
      <c r="L142" s="225" t="s">
        <v>79</v>
      </c>
      <c r="M142" s="225" t="s">
        <v>80</v>
      </c>
      <c r="N142" s="225"/>
      <c r="O142" s="225" t="s">
        <v>33</v>
      </c>
      <c r="P142" s="225"/>
      <c r="Q142" s="225"/>
      <c r="R142" s="225"/>
    </row>
    <row r="143" spans="1:18" ht="25.35" customHeight="1" outlineLevel="1" x14ac:dyDescent="0.25">
      <c r="B143" s="5" t="s">
        <v>119</v>
      </c>
      <c r="C143" s="5" t="s">
        <v>120</v>
      </c>
      <c r="D143" s="34" t="s">
        <v>121</v>
      </c>
      <c r="E143" s="34" t="s">
        <v>121</v>
      </c>
      <c r="F143" s="34" t="s">
        <v>121</v>
      </c>
      <c r="G143" s="34" t="s">
        <v>122</v>
      </c>
      <c r="H143" s="34" t="s">
        <v>123</v>
      </c>
      <c r="I143" s="34" t="s">
        <v>123</v>
      </c>
      <c r="J143" s="34" t="s">
        <v>123</v>
      </c>
      <c r="K143" s="226" t="s">
        <v>471</v>
      </c>
      <c r="L143" s="226"/>
      <c r="M143" s="226"/>
      <c r="N143" s="226"/>
      <c r="O143" s="236"/>
      <c r="P143" s="237"/>
      <c r="Q143" s="237"/>
      <c r="R143" s="238"/>
    </row>
    <row r="144" spans="1:18" ht="14.45" customHeight="1" outlineLevel="1" x14ac:dyDescent="0.25">
      <c r="D144" s="36"/>
      <c r="E144" s="36"/>
      <c r="F144" s="36"/>
      <c r="G144" s="36"/>
      <c r="H144" s="36"/>
      <c r="I144" s="36"/>
      <c r="J144" s="36"/>
    </row>
    <row r="145" spans="1:18" ht="14.45" customHeight="1" outlineLevel="1" x14ac:dyDescent="0.25">
      <c r="B145" s="6" t="s">
        <v>124</v>
      </c>
      <c r="C145" s="6" t="s">
        <v>61</v>
      </c>
      <c r="D145" s="39" t="str">
        <f>"Variant"&amp;" "&amp;$A$17</f>
        <v>Variant 1a</v>
      </c>
      <c r="E145" s="39" t="str">
        <f>"Variant"&amp;" "&amp;$A$18</f>
        <v>Variant 1b</v>
      </c>
      <c r="F145" s="39" t="str">
        <f>"Variant"&amp;" "&amp;$A$19</f>
        <v>Variant 1c</v>
      </c>
      <c r="G145" s="39" t="str">
        <f>"Variant"&amp;" "&amp;$A$20</f>
        <v>Variant 1d</v>
      </c>
      <c r="H145" s="39" t="str">
        <f>"Variant"&amp;" "&amp;$A$21</f>
        <v>Variant 1e</v>
      </c>
      <c r="I145" s="39" t="str">
        <f>"Variant"&amp;" "&amp;$A$22</f>
        <v>Variant 1f</v>
      </c>
      <c r="J145" s="39" t="str">
        <f>"Variant"&amp;" "&amp;$A$23</f>
        <v>Variant 1g</v>
      </c>
      <c r="K145" s="225" t="s">
        <v>32</v>
      </c>
      <c r="L145" s="225" t="s">
        <v>79</v>
      </c>
      <c r="M145" s="225" t="s">
        <v>80</v>
      </c>
      <c r="N145" s="225"/>
      <c r="O145" s="225" t="s">
        <v>33</v>
      </c>
      <c r="P145" s="225"/>
      <c r="Q145" s="225"/>
      <c r="R145" s="225"/>
    </row>
    <row r="146" spans="1:18" ht="43.35" customHeight="1" outlineLevel="1" x14ac:dyDescent="0.25">
      <c r="B146" s="5" t="s">
        <v>125</v>
      </c>
      <c r="C146" s="5" t="s">
        <v>35</v>
      </c>
      <c r="D146" s="106">
        <f>_xlfn.XLOOKUP('1. small connection'!D$143,'Cons group &amp; variant assumption'!$C$6:$G$6,'Cons group &amp; variant assumption'!$C7:$G7)</f>
        <v>531.55445003486159</v>
      </c>
      <c r="E146" s="106">
        <f>_xlfn.XLOOKUP('1. small connection'!E$143,'Cons group &amp; variant assumption'!$C$6:$G$6,'Cons group &amp; variant assumption'!$C7:$G7)</f>
        <v>531.55445003486159</v>
      </c>
      <c r="F146" s="106">
        <f>_xlfn.XLOOKUP('1. small connection'!F$143,'Cons group &amp; variant assumption'!$C$6:$G$6,'Cons group &amp; variant assumption'!$C7:$G7)</f>
        <v>531.55445003486159</v>
      </c>
      <c r="G146" s="106">
        <f>_xlfn.XLOOKUP('1. small connection'!G$143,'Cons group &amp; variant assumption'!$C$6:$G$6,'Cons group &amp; variant assumption'!$C7:$G7)</f>
        <v>0</v>
      </c>
      <c r="H146" s="106">
        <f>_xlfn.XLOOKUP('1. small connection'!H$143,'Cons group &amp; variant assumption'!$C$6:$G$6,'Cons group &amp; variant assumption'!$C7:$G7)</f>
        <v>359.69831754012762</v>
      </c>
      <c r="I146" s="106">
        <f>_xlfn.XLOOKUP('1. small connection'!I$143,'Cons group &amp; variant assumption'!$C$6:$G$6,'Cons group &amp; variant assumption'!$C7:$G7)</f>
        <v>359.69831754012762</v>
      </c>
      <c r="J146" s="106">
        <f>_xlfn.XLOOKUP('1. small connection'!J$143,'Cons group &amp; variant assumption'!$C$6:$G$6,'Cons group &amp; variant assumption'!$C7:$G7)</f>
        <v>359.69831754012762</v>
      </c>
      <c r="K146" s="226" t="s">
        <v>126</v>
      </c>
      <c r="L146" s="226"/>
      <c r="M146" s="226"/>
      <c r="N146" s="226"/>
      <c r="O146" s="227" t="s">
        <v>472</v>
      </c>
      <c r="P146" s="228"/>
      <c r="Q146" s="228"/>
      <c r="R146" s="229"/>
    </row>
    <row r="147" spans="1:18" ht="29.1" customHeight="1" outlineLevel="1" x14ac:dyDescent="0.25">
      <c r="B147" s="5" t="s">
        <v>127</v>
      </c>
      <c r="C147" s="5" t="s">
        <v>35</v>
      </c>
      <c r="D147" s="106">
        <f>_xlfn.XLOOKUP('1. small connection'!D$143,'Cons group &amp; variant assumption'!$C$6:$G$6,'Cons group &amp; variant assumption'!$C8:$G8)</f>
        <v>225.3000923361034</v>
      </c>
      <c r="E147" s="106">
        <f>_xlfn.XLOOKUP('1. small connection'!E$143,'Cons group &amp; variant assumption'!$C$6:$G$6,'Cons group &amp; variant assumption'!$C8:$G8)</f>
        <v>225.3000923361034</v>
      </c>
      <c r="F147" s="106">
        <f>_xlfn.XLOOKUP('1. small connection'!F$143,'Cons group &amp; variant assumption'!$C$6:$G$6,'Cons group &amp; variant assumption'!$C8:$G8)</f>
        <v>225.3000923361034</v>
      </c>
      <c r="G147" s="106">
        <f>_xlfn.XLOOKUP('1. small connection'!G$143,'Cons group &amp; variant assumption'!$C$6:$G$6,'Cons group &amp; variant assumption'!$C8:$G8)</f>
        <v>0</v>
      </c>
      <c r="H147" s="106">
        <f>_xlfn.XLOOKUP('1. small connection'!H$143,'Cons group &amp; variant assumption'!$C$6:$G$6,'Cons group &amp; variant assumption'!$C8:$G8)</f>
        <v>251.40204989363758</v>
      </c>
      <c r="I147" s="106">
        <f>_xlfn.XLOOKUP('1. small connection'!I$143,'Cons group &amp; variant assumption'!$C$6:$G$6,'Cons group &amp; variant assumption'!$C8:$G8)</f>
        <v>251.40204989363758</v>
      </c>
      <c r="J147" s="106">
        <f>_xlfn.XLOOKUP('1. small connection'!J$143,'Cons group &amp; variant assumption'!$C$6:$G$6,'Cons group &amp; variant assumption'!$C8:$G8)</f>
        <v>251.40204989363758</v>
      </c>
      <c r="K147" s="226" t="s">
        <v>128</v>
      </c>
      <c r="L147" s="226"/>
      <c r="M147" s="226"/>
      <c r="N147" s="226"/>
      <c r="O147" s="233"/>
      <c r="P147" s="234"/>
      <c r="Q147" s="234"/>
      <c r="R147" s="235"/>
    </row>
    <row r="148" spans="1:18" ht="14.45" customHeight="1" outlineLevel="1" x14ac:dyDescent="0.25">
      <c r="D148" s="36"/>
      <c r="E148" s="36"/>
      <c r="F148" s="36"/>
      <c r="G148" s="36"/>
      <c r="H148" s="36"/>
      <c r="I148" s="36"/>
      <c r="J148" s="36"/>
    </row>
    <row r="149" spans="1:18" outlineLevel="1" x14ac:dyDescent="0.25">
      <c r="B149" s="6" t="s">
        <v>132</v>
      </c>
      <c r="C149" s="6" t="s">
        <v>61</v>
      </c>
      <c r="D149" s="39" t="s">
        <v>133</v>
      </c>
      <c r="E149" s="225" t="s">
        <v>32</v>
      </c>
      <c r="F149" s="225"/>
      <c r="G149" s="225"/>
      <c r="H149" s="225"/>
      <c r="I149" s="225"/>
      <c r="J149" s="225"/>
      <c r="K149" s="225"/>
      <c r="L149" s="225" t="s">
        <v>33</v>
      </c>
      <c r="M149" s="225"/>
      <c r="N149" s="225"/>
      <c r="O149" s="225"/>
      <c r="P149" s="225"/>
      <c r="Q149" s="225"/>
      <c r="R149" s="225"/>
    </row>
    <row r="150" spans="1:18" ht="29.1" customHeight="1" outlineLevel="1" x14ac:dyDescent="0.25">
      <c r="B150" s="42" t="s">
        <v>136</v>
      </c>
      <c r="C150" s="5" t="s">
        <v>69</v>
      </c>
      <c r="D150" s="56">
        <f>'Distributor assumptions'!C12</f>
        <v>0.8745123537061118</v>
      </c>
      <c r="E150" s="226" t="s">
        <v>137</v>
      </c>
      <c r="F150" s="226"/>
      <c r="G150" s="226"/>
      <c r="H150" s="226"/>
      <c r="I150" s="226"/>
      <c r="J150" s="226"/>
      <c r="K150" s="226"/>
      <c r="L150" s="226" t="s">
        <v>138</v>
      </c>
      <c r="M150" s="226"/>
      <c r="N150" s="226"/>
      <c r="O150" s="226"/>
      <c r="P150" s="226"/>
      <c r="Q150" s="226"/>
      <c r="R150" s="226"/>
    </row>
    <row r="151" spans="1:18" outlineLevel="1" x14ac:dyDescent="0.25"/>
    <row r="152" spans="1:18" outlineLevel="1" x14ac:dyDescent="0.25">
      <c r="A152" s="43" t="s">
        <v>228</v>
      </c>
      <c r="D152" s="23"/>
      <c r="E152" s="23"/>
      <c r="F152" s="23"/>
      <c r="G152" s="23"/>
      <c r="H152" s="23"/>
      <c r="I152" s="23"/>
      <c r="J152" s="23"/>
      <c r="K152" s="24"/>
      <c r="L152" s="24"/>
      <c r="M152" s="24"/>
    </row>
    <row r="153" spans="1:18" outlineLevel="1" x14ac:dyDescent="0.25">
      <c r="D153" s="23"/>
      <c r="E153" s="23"/>
      <c r="F153" s="23"/>
      <c r="G153" s="23"/>
      <c r="H153" s="23"/>
      <c r="I153" s="23"/>
      <c r="J153" s="23"/>
      <c r="K153" s="24"/>
      <c r="L153" s="24"/>
      <c r="M153" s="24"/>
    </row>
    <row r="154" spans="1:18" outlineLevel="1" x14ac:dyDescent="0.25">
      <c r="B154" s="256" t="s">
        <v>474</v>
      </c>
      <c r="C154" s="256"/>
      <c r="D154" s="256"/>
      <c r="E154" s="256"/>
      <c r="F154" s="256"/>
      <c r="G154" s="256"/>
      <c r="H154" s="256"/>
      <c r="I154" s="256"/>
      <c r="J154" s="256"/>
      <c r="K154" s="256"/>
      <c r="L154" s="256"/>
      <c r="M154" s="256"/>
      <c r="N154" s="256"/>
      <c r="O154" s="256"/>
      <c r="P154" s="256"/>
      <c r="Q154" s="256"/>
      <c r="R154" s="256"/>
    </row>
    <row r="155" spans="1:18" outlineLevel="1" x14ac:dyDescent="0.25">
      <c r="B155" s="8"/>
      <c r="H155" s="8"/>
    </row>
    <row r="156" spans="1:18" outlineLevel="1" x14ac:dyDescent="0.25">
      <c r="B156" s="7" t="s">
        <v>28</v>
      </c>
      <c r="C156" s="151" t="str">
        <f>Sc1_variant</f>
        <v>Variant 1a</v>
      </c>
      <c r="E156" s="120" t="s">
        <v>475</v>
      </c>
      <c r="H156" s="165" t="str">
        <f>_xlfn.XLOOKUP(C156,$D$142:$J$142,$D$143:$J$143)</f>
        <v>Residential</v>
      </c>
    </row>
    <row r="157" spans="1:18" outlineLevel="1" x14ac:dyDescent="0.25">
      <c r="B157" s="7"/>
      <c r="C157" s="151"/>
      <c r="E157" s="120"/>
      <c r="H157" s="165"/>
    </row>
    <row r="158" spans="1:18" ht="14.45" customHeight="1" outlineLevel="2" x14ac:dyDescent="0.25">
      <c r="A158" s="4"/>
      <c r="B158" s="8" t="str">
        <f>"IDR calculation"&amp;" for "&amp;$C$156</f>
        <v>IDR calculation for Variant 1a</v>
      </c>
    </row>
    <row r="159" spans="1:18" outlineLevel="2" x14ac:dyDescent="0.25">
      <c r="A159" s="4"/>
    </row>
    <row r="160" spans="1:18" outlineLevel="2" x14ac:dyDescent="0.25">
      <c r="A160" s="4"/>
      <c r="B160" s="6" t="s">
        <v>125</v>
      </c>
      <c r="C160" s="6" t="s">
        <v>61</v>
      </c>
      <c r="D160" s="39" t="str">
        <f>C156</f>
        <v>Variant 1a</v>
      </c>
      <c r="E160" s="225" t="s">
        <v>32</v>
      </c>
      <c r="F160" s="225"/>
      <c r="G160" s="225"/>
      <c r="H160" s="225"/>
      <c r="I160" s="225"/>
      <c r="J160" s="225"/>
      <c r="K160" s="225"/>
      <c r="L160" s="225" t="s">
        <v>33</v>
      </c>
      <c r="M160" s="225"/>
      <c r="N160" s="225"/>
      <c r="O160" s="225"/>
      <c r="P160" s="225"/>
      <c r="Q160" s="225"/>
      <c r="R160" s="225"/>
    </row>
    <row r="161" spans="1:42" ht="29.1" customHeight="1" outlineLevel="2" x14ac:dyDescent="0.25">
      <c r="A161" s="4"/>
      <c r="B161" s="5" t="s">
        <v>125</v>
      </c>
      <c r="C161" s="5" t="s">
        <v>35</v>
      </c>
      <c r="D161" s="169">
        <f>_xlfn.XLOOKUP($C$156,$D$145:$J$145,$D$146:$J$146)</f>
        <v>531.55445003486159</v>
      </c>
      <c r="E161" s="226" t="s">
        <v>161</v>
      </c>
      <c r="F161" s="226"/>
      <c r="G161" s="226"/>
      <c r="H161" s="226"/>
      <c r="I161" s="226"/>
      <c r="J161" s="226"/>
      <c r="K161" s="226"/>
      <c r="L161" s="226" t="s">
        <v>472</v>
      </c>
      <c r="M161" s="226"/>
      <c r="N161" s="226"/>
      <c r="O161" s="226"/>
      <c r="P161" s="226"/>
      <c r="Q161" s="226"/>
      <c r="R161" s="226"/>
    </row>
    <row r="162" spans="1:42" ht="29.1" customHeight="1" outlineLevel="2" x14ac:dyDescent="0.25">
      <c r="A162" s="4"/>
      <c r="B162" s="42" t="s">
        <v>136</v>
      </c>
      <c r="C162" s="5" t="s">
        <v>69</v>
      </c>
      <c r="D162" s="64">
        <f>D150</f>
        <v>0.8745123537061118</v>
      </c>
      <c r="E162" s="226" t="s">
        <v>137</v>
      </c>
      <c r="F162" s="226"/>
      <c r="G162" s="226"/>
      <c r="H162" s="226"/>
      <c r="I162" s="226"/>
      <c r="J162" s="226"/>
      <c r="K162" s="226"/>
      <c r="L162" s="226" t="s">
        <v>138</v>
      </c>
      <c r="M162" s="226"/>
      <c r="N162" s="226"/>
      <c r="O162" s="226"/>
      <c r="P162" s="226"/>
      <c r="Q162" s="226"/>
      <c r="R162" s="226"/>
    </row>
    <row r="163" spans="1:42" outlineLevel="2" x14ac:dyDescent="0.25">
      <c r="A163" s="156" t="s">
        <v>162</v>
      </c>
      <c r="B163" s="6" t="s">
        <v>163</v>
      </c>
      <c r="C163" s="5" t="s">
        <v>35</v>
      </c>
      <c r="D163" s="170">
        <f>D161*D162</f>
        <v>464.8509332229446</v>
      </c>
      <c r="E163" s="226" t="s">
        <v>164</v>
      </c>
      <c r="F163" s="226"/>
      <c r="G163" s="226"/>
      <c r="H163" s="226"/>
      <c r="I163" s="226"/>
      <c r="J163" s="226"/>
      <c r="K163" s="226"/>
      <c r="L163" s="226"/>
      <c r="M163" s="226"/>
      <c r="N163" s="226"/>
      <c r="O163" s="226"/>
      <c r="P163" s="226"/>
      <c r="Q163" s="226"/>
      <c r="R163" s="226"/>
    </row>
    <row r="164" spans="1:42" outlineLevel="2" x14ac:dyDescent="0.25">
      <c r="A164" s="156"/>
    </row>
    <row r="165" spans="1:42" outlineLevel="2" x14ac:dyDescent="0.25">
      <c r="A165" s="156"/>
      <c r="L165" s="247" t="s">
        <v>139</v>
      </c>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8"/>
      <c r="AP165" s="249"/>
    </row>
    <row r="166" spans="1:42" outlineLevel="2" x14ac:dyDescent="0.25">
      <c r="A166" s="156"/>
      <c r="B166" s="6" t="s">
        <v>165</v>
      </c>
      <c r="C166" s="6" t="s">
        <v>61</v>
      </c>
      <c r="D166" s="225" t="s">
        <v>32</v>
      </c>
      <c r="E166" s="225"/>
      <c r="F166" s="225"/>
      <c r="G166" s="225"/>
      <c r="H166" s="225" t="s">
        <v>33</v>
      </c>
      <c r="I166" s="225"/>
      <c r="J166" s="225"/>
      <c r="K166" s="225"/>
      <c r="L166" s="6">
        <v>0</v>
      </c>
      <c r="M166" s="6">
        <v>1</v>
      </c>
      <c r="N166" s="6">
        <v>2</v>
      </c>
      <c r="O166" s="6">
        <v>3</v>
      </c>
      <c r="P166" s="6">
        <v>4</v>
      </c>
      <c r="Q166" s="6">
        <v>5</v>
      </c>
      <c r="R166" s="6">
        <v>6</v>
      </c>
      <c r="S166" s="6">
        <v>7</v>
      </c>
      <c r="T166" s="6">
        <v>8</v>
      </c>
      <c r="U166" s="6">
        <v>9</v>
      </c>
      <c r="V166" s="6">
        <v>10</v>
      </c>
      <c r="W166" s="6">
        <v>11</v>
      </c>
      <c r="X166" s="6">
        <v>12</v>
      </c>
      <c r="Y166" s="6">
        <v>13</v>
      </c>
      <c r="Z166" s="6">
        <v>14</v>
      </c>
      <c r="AA166" s="6">
        <v>15</v>
      </c>
      <c r="AB166" s="6">
        <v>16</v>
      </c>
      <c r="AC166" s="6">
        <v>17</v>
      </c>
      <c r="AD166" s="6">
        <v>18</v>
      </c>
      <c r="AE166" s="6">
        <v>19</v>
      </c>
      <c r="AF166" s="6">
        <v>20</v>
      </c>
      <c r="AG166" s="6">
        <v>21</v>
      </c>
      <c r="AH166" s="6">
        <v>22</v>
      </c>
      <c r="AI166" s="6">
        <v>23</v>
      </c>
      <c r="AJ166" s="6">
        <v>24</v>
      </c>
      <c r="AK166" s="6">
        <v>25</v>
      </c>
      <c r="AL166" s="6">
        <v>26</v>
      </c>
      <c r="AM166" s="6">
        <v>27</v>
      </c>
      <c r="AN166" s="6">
        <v>28</v>
      </c>
      <c r="AO166" s="6">
        <v>29</v>
      </c>
      <c r="AP166" s="6">
        <v>30</v>
      </c>
    </row>
    <row r="167" spans="1:42" outlineLevel="2" x14ac:dyDescent="0.25">
      <c r="A167" s="156"/>
      <c r="B167" s="5" t="s">
        <v>140</v>
      </c>
      <c r="C167" s="5" t="s">
        <v>141</v>
      </c>
      <c r="D167" s="223" t="s">
        <v>142</v>
      </c>
      <c r="E167" s="223"/>
      <c r="F167" s="223"/>
      <c r="G167" s="223"/>
      <c r="H167" s="223"/>
      <c r="I167" s="223"/>
      <c r="J167" s="223"/>
      <c r="K167" s="223"/>
      <c r="L167" s="77">
        <f>L$76</f>
        <v>2026</v>
      </c>
      <c r="M167" s="77">
        <f t="shared" ref="M167:AP167" si="24">M$76</f>
        <v>2027</v>
      </c>
      <c r="N167" s="77">
        <f t="shared" si="24"/>
        <v>2028</v>
      </c>
      <c r="O167" s="77">
        <f t="shared" si="24"/>
        <v>2029</v>
      </c>
      <c r="P167" s="77">
        <f t="shared" si="24"/>
        <v>2030</v>
      </c>
      <c r="Q167" s="77">
        <f t="shared" si="24"/>
        <v>2031</v>
      </c>
      <c r="R167" s="77">
        <f t="shared" si="24"/>
        <v>2032</v>
      </c>
      <c r="S167" s="77">
        <f t="shared" si="24"/>
        <v>2033</v>
      </c>
      <c r="T167" s="77">
        <f t="shared" si="24"/>
        <v>2034</v>
      </c>
      <c r="U167" s="77">
        <f t="shared" si="24"/>
        <v>2035</v>
      </c>
      <c r="V167" s="77">
        <f t="shared" si="24"/>
        <v>2036</v>
      </c>
      <c r="W167" s="77">
        <f t="shared" si="24"/>
        <v>2037</v>
      </c>
      <c r="X167" s="77">
        <f t="shared" si="24"/>
        <v>2038</v>
      </c>
      <c r="Y167" s="77">
        <f t="shared" si="24"/>
        <v>2039</v>
      </c>
      <c r="Z167" s="77">
        <f t="shared" si="24"/>
        <v>2040</v>
      </c>
      <c r="AA167" s="77">
        <f t="shared" si="24"/>
        <v>2041</v>
      </c>
      <c r="AB167" s="77">
        <f t="shared" si="24"/>
        <v>2042</v>
      </c>
      <c r="AC167" s="77">
        <f t="shared" si="24"/>
        <v>2043</v>
      </c>
      <c r="AD167" s="77">
        <f t="shared" si="24"/>
        <v>2044</v>
      </c>
      <c r="AE167" s="77">
        <f t="shared" si="24"/>
        <v>2045</v>
      </c>
      <c r="AF167" s="77">
        <f t="shared" si="24"/>
        <v>2046</v>
      </c>
      <c r="AG167" s="77">
        <f t="shared" si="24"/>
        <v>2047</v>
      </c>
      <c r="AH167" s="77">
        <f t="shared" si="24"/>
        <v>2048</v>
      </c>
      <c r="AI167" s="77">
        <f t="shared" si="24"/>
        <v>2049</v>
      </c>
      <c r="AJ167" s="77">
        <f t="shared" si="24"/>
        <v>2050</v>
      </c>
      <c r="AK167" s="77">
        <f t="shared" si="24"/>
        <v>2051</v>
      </c>
      <c r="AL167" s="77">
        <f t="shared" si="24"/>
        <v>2052</v>
      </c>
      <c r="AM167" s="77">
        <f t="shared" si="24"/>
        <v>2053</v>
      </c>
      <c r="AN167" s="77">
        <f t="shared" si="24"/>
        <v>2054</v>
      </c>
      <c r="AO167" s="77">
        <f t="shared" si="24"/>
        <v>2055</v>
      </c>
      <c r="AP167" s="77">
        <f t="shared" si="24"/>
        <v>2056</v>
      </c>
    </row>
    <row r="168" spans="1:42" ht="14.45" customHeight="1" outlineLevel="2" x14ac:dyDescent="0.25">
      <c r="A168" s="156" t="s">
        <v>166</v>
      </c>
      <c r="B168" s="5" t="s">
        <v>143</v>
      </c>
      <c r="C168" s="5" t="s">
        <v>144</v>
      </c>
      <c r="D168" s="223" t="s">
        <v>167</v>
      </c>
      <c r="E168" s="223"/>
      <c r="F168" s="223"/>
      <c r="G168" s="223"/>
      <c r="H168" s="223" t="s">
        <v>459</v>
      </c>
      <c r="I168" s="223"/>
      <c r="J168" s="223"/>
      <c r="K168" s="223"/>
      <c r="L168" s="63">
        <f t="shared" ref="L168:AP168" si="25">IF(L$166&lt;=_xlfn.XLOOKUP(Sc1_variant,$D$69:$J$69,$D$70:$J$70),L$77,0)</f>
        <v>1</v>
      </c>
      <c r="M168" s="63">
        <f t="shared" si="25"/>
        <v>0.95574882920768423</v>
      </c>
      <c r="N168" s="63">
        <f t="shared" si="25"/>
        <v>0.91345582453185914</v>
      </c>
      <c r="O168" s="63">
        <f t="shared" si="25"/>
        <v>0.87303433482926418</v>
      </c>
      <c r="P168" s="63">
        <f t="shared" si="25"/>
        <v>0.83440154337117856</v>
      </c>
      <c r="Q168" s="63">
        <f t="shared" si="25"/>
        <v>0.79747829816608862</v>
      </c>
      <c r="R168" s="63">
        <f t="shared" si="25"/>
        <v>0.76218894979077567</v>
      </c>
      <c r="S168" s="63">
        <f t="shared" si="25"/>
        <v>0.72846119639756823</v>
      </c>
      <c r="T168" s="63">
        <f t="shared" si="25"/>
        <v>0.69622593558020462</v>
      </c>
      <c r="U168" s="63">
        <f t="shared" si="25"/>
        <v>0.66541712279480525</v>
      </c>
      <c r="V168" s="63">
        <f t="shared" si="25"/>
        <v>0.63597163604588081</v>
      </c>
      <c r="W168" s="63">
        <f t="shared" si="25"/>
        <v>0.60782914656014608</v>
      </c>
      <c r="X168" s="63">
        <f t="shared" si="25"/>
        <v>0.58093199518316552</v>
      </c>
      <c r="Y168" s="63">
        <f t="shared" si="25"/>
        <v>0.55522507424559442</v>
      </c>
      <c r="Z168" s="63">
        <f t="shared" si="25"/>
        <v>0.53065571465697647</v>
      </c>
      <c r="AA168" s="63">
        <f t="shared" si="25"/>
        <v>0.50717357799577223</v>
      </c>
      <c r="AB168" s="63">
        <f t="shared" si="25"/>
        <v>0.48473055337453136</v>
      </c>
      <c r="AC168" s="63">
        <f t="shared" si="25"/>
        <v>0.46328065886890124</v>
      </c>
      <c r="AD168" s="63">
        <f t="shared" si="25"/>
        <v>0.44277994730851689</v>
      </c>
      <c r="AE168" s="63">
        <f t="shared" si="25"/>
        <v>0.42318641623675513</v>
      </c>
      <c r="AF168" s="63">
        <f t="shared" si="25"/>
        <v>0.40445992185487434</v>
      </c>
      <c r="AG168" s="63">
        <f t="shared" si="25"/>
        <v>0.38656209677422765</v>
      </c>
      <c r="AH168" s="63">
        <f t="shared" si="25"/>
        <v>0.36945627140803561</v>
      </c>
      <c r="AI168" s="63">
        <f t="shared" si="25"/>
        <v>0.35310739884166642</v>
      </c>
      <c r="AJ168" s="63">
        <f t="shared" si="25"/>
        <v>0.33748198302749344</v>
      </c>
      <c r="AK168" s="63">
        <f t="shared" si="25"/>
        <v>0.3225480101572144</v>
      </c>
      <c r="AL168" s="63">
        <f t="shared" si="25"/>
        <v>0.30827488307102585</v>
      </c>
      <c r="AM168" s="63">
        <f t="shared" si="25"/>
        <v>0.29463335856926876</v>
      </c>
      <c r="AN168" s="63">
        <f t="shared" si="25"/>
        <v>0.28159548749810637</v>
      </c>
      <c r="AO168" s="63">
        <f t="shared" si="25"/>
        <v>0.26913455748648224</v>
      </c>
      <c r="AP168" s="63">
        <f t="shared" si="25"/>
        <v>0.25722503821703363</v>
      </c>
    </row>
    <row r="169" spans="1:42" ht="29.1" customHeight="1" outlineLevel="2" x14ac:dyDescent="0.25">
      <c r="A169" s="156" t="s">
        <v>168</v>
      </c>
      <c r="B169" s="5" t="s">
        <v>291</v>
      </c>
      <c r="C169" s="5" t="s">
        <v>144</v>
      </c>
      <c r="D169" s="223" t="s">
        <v>169</v>
      </c>
      <c r="E169" s="223"/>
      <c r="F169" s="223"/>
      <c r="G169" s="223"/>
      <c r="H169" s="223" t="s">
        <v>292</v>
      </c>
      <c r="I169" s="223"/>
      <c r="J169" s="223"/>
      <c r="K169" s="223"/>
      <c r="L169" s="63">
        <f>IF(L$166&lt;=_xlfn.XLOOKUP(Sc1_variant,$D$69:$J$69,$D$70:$J$70),'Distributor assumptions'!K$15,0)</f>
        <v>1</v>
      </c>
      <c r="M169" s="63">
        <f>IF(M$166&lt;=_xlfn.XLOOKUP(Sc1_variant,$D$69:$J$69,$D$70:$J$70),'Distributor assumptions'!L$15,0)</f>
        <v>1.1000000000000001</v>
      </c>
      <c r="N169" s="63">
        <f>IF(N$166&lt;=_xlfn.XLOOKUP(Sc1_variant,$D$69:$J$69,$D$70:$J$70),'Distributor assumptions'!M$15,0)</f>
        <v>1.2</v>
      </c>
      <c r="O169" s="63">
        <f>IF(O$166&lt;=_xlfn.XLOOKUP(Sc1_variant,$D$69:$J$69,$D$70:$J$70),'Distributor assumptions'!N$15,0)</f>
        <v>1.32</v>
      </c>
      <c r="P169" s="63">
        <f>IF(P$166&lt;=_xlfn.XLOOKUP(Sc1_variant,$D$69:$J$69,$D$70:$J$70),'Distributor assumptions'!O$15,0)</f>
        <v>1.44</v>
      </c>
      <c r="Q169" s="63">
        <f>IF(Q$166&lt;=_xlfn.XLOOKUP(Sc1_variant,$D$69:$J$69,$D$70:$J$70),'Distributor assumptions'!P$15,0)</f>
        <v>1.44</v>
      </c>
      <c r="R169" s="63">
        <f>IF(R$166&lt;=_xlfn.XLOOKUP(Sc1_variant,$D$69:$J$69,$D$70:$J$70),'Distributor assumptions'!Q$15,0)</f>
        <v>1.44</v>
      </c>
      <c r="S169" s="63">
        <f>IF(S$166&lt;=_xlfn.XLOOKUP(Sc1_variant,$D$69:$J$69,$D$70:$J$70),'Distributor assumptions'!R$15,0)</f>
        <v>1.44</v>
      </c>
      <c r="T169" s="63">
        <f>IF(T$166&lt;=_xlfn.XLOOKUP(Sc1_variant,$D$69:$J$69,$D$70:$J$70),'Distributor assumptions'!S$15,0)</f>
        <v>1.44</v>
      </c>
      <c r="U169" s="63">
        <f>IF(U$166&lt;=_xlfn.XLOOKUP(Sc1_variant,$D$69:$J$69,$D$70:$J$70),'Distributor assumptions'!T$15,0)</f>
        <v>1.44</v>
      </c>
      <c r="V169" s="63">
        <f>IF(V$166&lt;=_xlfn.XLOOKUP(Sc1_variant,$D$69:$J$69,$D$70:$J$70),'Distributor assumptions'!U$15,0)</f>
        <v>1.44</v>
      </c>
      <c r="W169" s="63">
        <f>IF(W$166&lt;=_xlfn.XLOOKUP(Sc1_variant,$D$69:$J$69,$D$70:$J$70),'Distributor assumptions'!V$15,0)</f>
        <v>1.44</v>
      </c>
      <c r="X169" s="63">
        <f>IF(X$166&lt;=_xlfn.XLOOKUP(Sc1_variant,$D$69:$J$69,$D$70:$J$70),'Distributor assumptions'!W$15,0)</f>
        <v>1.44</v>
      </c>
      <c r="Y169" s="63">
        <f>IF(Y$166&lt;=_xlfn.XLOOKUP(Sc1_variant,$D$69:$J$69,$D$70:$J$70),'Distributor assumptions'!X$15,0)</f>
        <v>1.44</v>
      </c>
      <c r="Z169" s="63">
        <f>IF(Z$166&lt;=_xlfn.XLOOKUP(Sc1_variant,$D$69:$J$69,$D$70:$J$70),'Distributor assumptions'!Y$15,0)</f>
        <v>1.44</v>
      </c>
      <c r="AA169" s="63">
        <f>IF(AA$166&lt;=_xlfn.XLOOKUP(Sc1_variant,$D$69:$J$69,$D$70:$J$70),'Distributor assumptions'!Z$15,0)</f>
        <v>1.44</v>
      </c>
      <c r="AB169" s="63">
        <f>IF(AB$166&lt;=_xlfn.XLOOKUP(Sc1_variant,$D$69:$J$69,$D$70:$J$70),'Distributor assumptions'!AA$15,0)</f>
        <v>1.44</v>
      </c>
      <c r="AC169" s="63">
        <f>IF(AC$166&lt;=_xlfn.XLOOKUP(Sc1_variant,$D$69:$J$69,$D$70:$J$70),'Distributor assumptions'!AB$15,0)</f>
        <v>1.44</v>
      </c>
      <c r="AD169" s="63">
        <f>IF(AD$166&lt;=_xlfn.XLOOKUP(Sc1_variant,$D$69:$J$69,$D$70:$J$70),'Distributor assumptions'!AC$15,0)</f>
        <v>1.44</v>
      </c>
      <c r="AE169" s="63">
        <f>IF(AE$166&lt;=_xlfn.XLOOKUP(Sc1_variant,$D$69:$J$69,$D$70:$J$70),'Distributor assumptions'!AD$15,0)</f>
        <v>1.44</v>
      </c>
      <c r="AF169" s="63">
        <f>IF(AF$166&lt;=_xlfn.XLOOKUP(Sc1_variant,$D$69:$J$69,$D$70:$J$70),'Distributor assumptions'!AE$15,0)</f>
        <v>1.44</v>
      </c>
      <c r="AG169" s="63">
        <f>IF(AG$166&lt;=_xlfn.XLOOKUP(Sc1_variant,$D$69:$J$69,$D$70:$J$70),'Distributor assumptions'!AF$15,0)</f>
        <v>1.44</v>
      </c>
      <c r="AH169" s="63">
        <f>IF(AH$166&lt;=_xlfn.XLOOKUP(Sc1_variant,$D$69:$J$69,$D$70:$J$70),'Distributor assumptions'!AG$15,0)</f>
        <v>1.44</v>
      </c>
      <c r="AI169" s="63">
        <f>IF(AI$166&lt;=_xlfn.XLOOKUP(Sc1_variant,$D$69:$J$69,$D$70:$J$70),'Distributor assumptions'!AH$15,0)</f>
        <v>1.44</v>
      </c>
      <c r="AJ169" s="63">
        <f>IF(AJ$166&lt;=_xlfn.XLOOKUP(Sc1_variant,$D$69:$J$69,$D$70:$J$70),'Distributor assumptions'!AI$15,0)</f>
        <v>1.44</v>
      </c>
      <c r="AK169" s="63">
        <f>IF(AK$166&lt;=_xlfn.XLOOKUP(Sc1_variant,$D$69:$J$69,$D$70:$J$70),'Distributor assumptions'!AJ$15,0)</f>
        <v>1.44</v>
      </c>
      <c r="AL169" s="63">
        <f>IF(AL$166&lt;=_xlfn.XLOOKUP(Sc1_variant,$D$69:$J$69,$D$70:$J$70),'Distributor assumptions'!AK$15,0)</f>
        <v>1.44</v>
      </c>
      <c r="AM169" s="63">
        <f>IF(AM$166&lt;=_xlfn.XLOOKUP(Sc1_variant,$D$69:$J$69,$D$70:$J$70),'Distributor assumptions'!AL$15,0)</f>
        <v>1.44</v>
      </c>
      <c r="AN169" s="63">
        <f>IF(AN$166&lt;=_xlfn.XLOOKUP(Sc1_variant,$D$69:$J$69,$D$70:$J$70),'Distributor assumptions'!AM$15,0)</f>
        <v>1.44</v>
      </c>
      <c r="AO169" s="63">
        <f>IF(AO$166&lt;=_xlfn.XLOOKUP(Sc1_variant,$D$69:$J$69,$D$70:$J$70),'Distributor assumptions'!AN$15,0)</f>
        <v>1.44</v>
      </c>
      <c r="AP169" s="63">
        <f>IF(AP$166&lt;=_xlfn.XLOOKUP(Sc1_variant,$D$69:$J$69,$D$70:$J$70),'Distributor assumptions'!AO$15,0)</f>
        <v>1.44</v>
      </c>
    </row>
    <row r="170" spans="1:42" ht="14.45" customHeight="1" outlineLevel="2" x14ac:dyDescent="0.25">
      <c r="A170" s="156" t="s">
        <v>170</v>
      </c>
      <c r="B170" s="5" t="s">
        <v>293</v>
      </c>
      <c r="C170" s="5" t="s">
        <v>144</v>
      </c>
      <c r="D170" s="223" t="s">
        <v>148</v>
      </c>
      <c r="E170" s="223"/>
      <c r="F170" s="223"/>
      <c r="G170" s="223"/>
      <c r="H170" s="223" t="s">
        <v>294</v>
      </c>
      <c r="I170" s="223"/>
      <c r="J170" s="223"/>
      <c r="K170" s="223"/>
      <c r="L170" s="63">
        <f>IF(L$166&lt;=_xlfn.XLOOKUP(Sc1_variant,$D$69:$J$69,$D$70:$J$70),_xlfn.XLOOKUP($H$156,'Cons group &amp; variant assumption'!$A$75:$A$83,'Cons group &amp; variant assumption'!O$75:O$83),0)</f>
        <v>1</v>
      </c>
      <c r="M170" s="63">
        <f>IF(M$166&lt;=_xlfn.XLOOKUP(Sc1_variant,$D$69:$J$69,$D$70:$J$70),_xlfn.XLOOKUP($H$156,'Cons group &amp; variant assumption'!$A$75:$A$83,'Cons group &amp; variant assumption'!P$75:P$83),0)</f>
        <v>1</v>
      </c>
      <c r="N170" s="63">
        <f>IF(N$166&lt;=_xlfn.XLOOKUP(Sc1_variant,$D$69:$J$69,$D$70:$J$70),_xlfn.XLOOKUP($H$156,'Cons group &amp; variant assumption'!$A$75:$A$83,'Cons group &amp; variant assumption'!Q$75:Q$83),0)</f>
        <v>1</v>
      </c>
      <c r="O170" s="63">
        <f>IF(O$166&lt;=_xlfn.XLOOKUP(Sc1_variant,$D$69:$J$69,$D$70:$J$70),_xlfn.XLOOKUP($H$156,'Cons group &amp; variant assumption'!$A$75:$A$83,'Cons group &amp; variant assumption'!R$75:R$83),0)</f>
        <v>1</v>
      </c>
      <c r="P170" s="63">
        <f>IF(P$166&lt;=_xlfn.XLOOKUP(Sc1_variant,$D$69:$J$69,$D$70:$J$70),_xlfn.XLOOKUP($H$156,'Cons group &amp; variant assumption'!$A$75:$A$83,'Cons group &amp; variant assumption'!S$75:S$83),0)</f>
        <v>1</v>
      </c>
      <c r="Q170" s="63">
        <f>IF(Q$166&lt;=_xlfn.XLOOKUP(Sc1_variant,$D$69:$J$69,$D$70:$J$70),_xlfn.XLOOKUP($H$156,'Cons group &amp; variant assumption'!$A$75:$A$83,'Cons group &amp; variant assumption'!T$75:T$83),0)</f>
        <v>1</v>
      </c>
      <c r="R170" s="63">
        <f>IF(R$166&lt;=_xlfn.XLOOKUP(Sc1_variant,$D$69:$J$69,$D$70:$J$70),_xlfn.XLOOKUP($H$156,'Cons group &amp; variant assumption'!$A$75:$A$83,'Cons group &amp; variant assumption'!U$75:U$83),0)</f>
        <v>1</v>
      </c>
      <c r="S170" s="63">
        <f>IF(S$166&lt;=_xlfn.XLOOKUP(Sc1_variant,$D$69:$J$69,$D$70:$J$70),_xlfn.XLOOKUP($H$156,'Cons group &amp; variant assumption'!$A$75:$A$83,'Cons group &amp; variant assumption'!V$75:V$83),0)</f>
        <v>1</v>
      </c>
      <c r="T170" s="63">
        <f>IF(T$166&lt;=_xlfn.XLOOKUP(Sc1_variant,$D$69:$J$69,$D$70:$J$70),_xlfn.XLOOKUP($H$156,'Cons group &amp; variant assumption'!$A$75:$A$83,'Cons group &amp; variant assumption'!W$75:W$83),0)</f>
        <v>1</v>
      </c>
      <c r="U170" s="63">
        <f>IF(U$166&lt;=_xlfn.XLOOKUP(Sc1_variant,$D$69:$J$69,$D$70:$J$70),_xlfn.XLOOKUP($H$156,'Cons group &amp; variant assumption'!$A$75:$A$83,'Cons group &amp; variant assumption'!X$75:X$83),0)</f>
        <v>1</v>
      </c>
      <c r="V170" s="63">
        <f>IF(V$166&lt;=_xlfn.XLOOKUP(Sc1_variant,$D$69:$J$69,$D$70:$J$70),_xlfn.XLOOKUP($H$156,'Cons group &amp; variant assumption'!$A$75:$A$83,'Cons group &amp; variant assumption'!Y$75:Y$83),0)</f>
        <v>1</v>
      </c>
      <c r="W170" s="63">
        <f>IF(W$166&lt;=_xlfn.XLOOKUP(Sc1_variant,$D$69:$J$69,$D$70:$J$70),_xlfn.XLOOKUP($H$156,'Cons group &amp; variant assumption'!$A$75:$A$83,'Cons group &amp; variant assumption'!Z$75:Z$83),0)</f>
        <v>1</v>
      </c>
      <c r="X170" s="63">
        <f>IF(X$166&lt;=_xlfn.XLOOKUP(Sc1_variant,$D$69:$J$69,$D$70:$J$70),_xlfn.XLOOKUP($H$156,'Cons group &amp; variant assumption'!$A$75:$A$83,'Cons group &amp; variant assumption'!AA$75:AA$83),0)</f>
        <v>1</v>
      </c>
      <c r="Y170" s="63">
        <f>IF(Y$166&lt;=_xlfn.XLOOKUP(Sc1_variant,$D$69:$J$69,$D$70:$J$70),_xlfn.XLOOKUP($H$156,'Cons group &amp; variant assumption'!$A$75:$A$83,'Cons group &amp; variant assumption'!AB$75:AB$83),0)</f>
        <v>1</v>
      </c>
      <c r="Z170" s="63">
        <f>IF(Z$166&lt;=_xlfn.XLOOKUP(Sc1_variant,$D$69:$J$69,$D$70:$J$70),_xlfn.XLOOKUP($H$156,'Cons group &amp; variant assumption'!$A$75:$A$83,'Cons group &amp; variant assumption'!AC$75:AC$83),0)</f>
        <v>1</v>
      </c>
      <c r="AA170" s="63">
        <f>IF(AA$166&lt;=_xlfn.XLOOKUP(Sc1_variant,$D$69:$J$69,$D$70:$J$70),_xlfn.XLOOKUP($H$156,'Cons group &amp; variant assumption'!$A$75:$A$83,'Cons group &amp; variant assumption'!AD$75:AD$83),0)</f>
        <v>1</v>
      </c>
      <c r="AB170" s="63">
        <f>IF(AB$166&lt;=_xlfn.XLOOKUP(Sc1_variant,$D$69:$J$69,$D$70:$J$70),_xlfn.XLOOKUP($H$156,'Cons group &amp; variant assumption'!$A$75:$A$83,'Cons group &amp; variant assumption'!AE$75:AE$83),0)</f>
        <v>1</v>
      </c>
      <c r="AC170" s="63">
        <f>IF(AC$166&lt;=_xlfn.XLOOKUP(Sc1_variant,$D$69:$J$69,$D$70:$J$70),_xlfn.XLOOKUP($H$156,'Cons group &amp; variant assumption'!$A$75:$A$83,'Cons group &amp; variant assumption'!AF$75:AF$83),0)</f>
        <v>1</v>
      </c>
      <c r="AD170" s="63">
        <f>IF(AD$166&lt;=_xlfn.XLOOKUP(Sc1_variant,$D$69:$J$69,$D$70:$J$70),_xlfn.XLOOKUP($H$156,'Cons group &amp; variant assumption'!$A$75:$A$83,'Cons group &amp; variant assumption'!AG$75:AG$83),0)</f>
        <v>1</v>
      </c>
      <c r="AE170" s="63">
        <f>IF(AE$166&lt;=_xlfn.XLOOKUP(Sc1_variant,$D$69:$J$69,$D$70:$J$70),_xlfn.XLOOKUP($H$156,'Cons group &amp; variant assumption'!$A$75:$A$83,'Cons group &amp; variant assumption'!AH$75:AH$83),0)</f>
        <v>1</v>
      </c>
      <c r="AF170" s="63">
        <f>IF(AF$166&lt;=_xlfn.XLOOKUP(Sc1_variant,$D$69:$J$69,$D$70:$J$70),_xlfn.XLOOKUP($H$156,'Cons group &amp; variant assumption'!$A$75:$A$83,'Cons group &amp; variant assumption'!AI$75:AI$83),0)</f>
        <v>1</v>
      </c>
      <c r="AG170" s="63">
        <f>IF(AG$166&lt;=_xlfn.XLOOKUP(Sc1_variant,$D$69:$J$69,$D$70:$J$70),_xlfn.XLOOKUP($H$156,'Cons group &amp; variant assumption'!$A$75:$A$83,'Cons group &amp; variant assumption'!AJ$75:AJ$83),0)</f>
        <v>1</v>
      </c>
      <c r="AH170" s="63">
        <f>IF(AH$166&lt;=_xlfn.XLOOKUP(Sc1_variant,$D$69:$J$69,$D$70:$J$70),_xlfn.XLOOKUP($H$156,'Cons group &amp; variant assumption'!$A$75:$A$83,'Cons group &amp; variant assumption'!AK$75:AK$83),0)</f>
        <v>1</v>
      </c>
      <c r="AI170" s="63">
        <f>IF(AI$166&lt;=_xlfn.XLOOKUP(Sc1_variant,$D$69:$J$69,$D$70:$J$70),_xlfn.XLOOKUP($H$156,'Cons group &amp; variant assumption'!$A$75:$A$83,'Cons group &amp; variant assumption'!AL$75:AL$83),0)</f>
        <v>1</v>
      </c>
      <c r="AJ170" s="63">
        <f>IF(AJ$166&lt;=_xlfn.XLOOKUP(Sc1_variant,$D$69:$J$69,$D$70:$J$70),_xlfn.XLOOKUP($H$156,'Cons group &amp; variant assumption'!$A$75:$A$83,'Cons group &amp; variant assumption'!AM$75:AM$83),0)</f>
        <v>1</v>
      </c>
      <c r="AK170" s="63">
        <f>IF(AK$166&lt;=_xlfn.XLOOKUP(Sc1_variant,$D$69:$J$69,$D$70:$J$70),_xlfn.XLOOKUP($H$156,'Cons group &amp; variant assumption'!$A$75:$A$83,'Cons group &amp; variant assumption'!AN$75:AN$83),0)</f>
        <v>1</v>
      </c>
      <c r="AL170" s="63">
        <f>IF(AL$166&lt;=_xlfn.XLOOKUP(Sc1_variant,$D$69:$J$69,$D$70:$J$70),_xlfn.XLOOKUP($H$156,'Cons group &amp; variant assumption'!$A$75:$A$83,'Cons group &amp; variant assumption'!AO$75:AO$83),0)</f>
        <v>1</v>
      </c>
      <c r="AM170" s="63">
        <f>IF(AM$166&lt;=_xlfn.XLOOKUP(Sc1_variant,$D$69:$J$69,$D$70:$J$70),_xlfn.XLOOKUP($H$156,'Cons group &amp; variant assumption'!$A$75:$A$83,'Cons group &amp; variant assumption'!AP$75:AP$83),0)</f>
        <v>1</v>
      </c>
      <c r="AN170" s="63">
        <f>IF(AN$166&lt;=_xlfn.XLOOKUP(Sc1_variant,$D$69:$J$69,$D$70:$J$70),_xlfn.XLOOKUP($H$156,'Cons group &amp; variant assumption'!$A$75:$A$83,'Cons group &amp; variant assumption'!AQ$75:AQ$83),0)</f>
        <v>1</v>
      </c>
      <c r="AO170" s="63">
        <f>IF(AO$166&lt;=_xlfn.XLOOKUP(Sc1_variant,$D$69:$J$69,$D$70:$J$70),_xlfn.XLOOKUP($H$156,'Cons group &amp; variant assumption'!$A$75:$A$83,'Cons group &amp; variant assumption'!AR$75:AR$83),0)</f>
        <v>1</v>
      </c>
      <c r="AP170" s="63">
        <f>IF(AP$166&lt;=_xlfn.XLOOKUP(Sc1_variant,$D$69:$J$69,$D$70:$J$70),_xlfn.XLOOKUP($H$156,'Cons group &amp; variant assumption'!$A$75:$A$83,'Cons group &amp; variant assumption'!AS$75:AS$83),0)</f>
        <v>1</v>
      </c>
    </row>
    <row r="171" spans="1:42" ht="14.45" customHeight="1" outlineLevel="2" x14ac:dyDescent="0.25">
      <c r="A171" s="156" t="s">
        <v>171</v>
      </c>
      <c r="B171" s="5" t="s">
        <v>149</v>
      </c>
      <c r="C171" s="5" t="s">
        <v>144</v>
      </c>
      <c r="D171" s="223" t="s">
        <v>153</v>
      </c>
      <c r="E171" s="223"/>
      <c r="F171" s="223"/>
      <c r="G171" s="223"/>
      <c r="H171" s="223" t="s">
        <v>476</v>
      </c>
      <c r="I171" s="223"/>
      <c r="J171" s="223"/>
      <c r="K171" s="223"/>
      <c r="L171" s="63">
        <f>IF(L$166&lt;=_xlfn.XLOOKUP(Sc1_variant,$D$69:$J$69,$D$70:$J$70),_xlfn.XLOOKUP($H$156,'Cons group &amp; variant assumption'!$A$106:$A$114,'Cons group &amp; variant assumption'!O$106:O$114),0)</f>
        <v>0.5</v>
      </c>
      <c r="M171" s="63">
        <f>IF(M$166&lt;=_xlfn.XLOOKUP(Sc1_variant,$D$69:$J$69,$D$70:$J$70),_xlfn.XLOOKUP($H$156,'Cons group &amp; variant assumption'!$A$106:$A$114,'Cons group &amp; variant assumption'!P$106:P$114),0)</f>
        <v>1</v>
      </c>
      <c r="N171" s="63">
        <f>IF(N$166&lt;=_xlfn.XLOOKUP(Sc1_variant,$D$69:$J$69,$D$70:$J$70),_xlfn.XLOOKUP($H$156,'Cons group &amp; variant assumption'!$A$106:$A$114,'Cons group &amp; variant assumption'!Q$106:Q$114),0)</f>
        <v>1</v>
      </c>
      <c r="O171" s="63">
        <f>IF(O$166&lt;=_xlfn.XLOOKUP(Sc1_variant,$D$69:$J$69,$D$70:$J$70),_xlfn.XLOOKUP($H$156,'Cons group &amp; variant assumption'!$A$106:$A$114,'Cons group &amp; variant assumption'!R$106:R$114),0)</f>
        <v>1</v>
      </c>
      <c r="P171" s="63">
        <f>IF(P$166&lt;=_xlfn.XLOOKUP(Sc1_variant,$D$69:$J$69,$D$70:$J$70),_xlfn.XLOOKUP($H$156,'Cons group &amp; variant assumption'!$A$106:$A$114,'Cons group &amp; variant assumption'!S$106:S$114),0)</f>
        <v>1</v>
      </c>
      <c r="Q171" s="63">
        <f>IF(Q$166&lt;=_xlfn.XLOOKUP(Sc1_variant,$D$69:$J$69,$D$70:$J$70),_xlfn.XLOOKUP($H$156,'Cons group &amp; variant assumption'!$A$106:$A$114,'Cons group &amp; variant assumption'!T$106:T$114),0)</f>
        <v>1</v>
      </c>
      <c r="R171" s="63">
        <f>IF(R$166&lt;=_xlfn.XLOOKUP(Sc1_variant,$D$69:$J$69,$D$70:$J$70),_xlfn.XLOOKUP($H$156,'Cons group &amp; variant assumption'!$A$106:$A$114,'Cons group &amp; variant assumption'!U$106:U$114),0)</f>
        <v>1</v>
      </c>
      <c r="S171" s="63">
        <f>IF(S$166&lt;=_xlfn.XLOOKUP(Sc1_variant,$D$69:$J$69,$D$70:$J$70),_xlfn.XLOOKUP($H$156,'Cons group &amp; variant assumption'!$A$106:$A$114,'Cons group &amp; variant assumption'!V$106:V$114),0)</f>
        <v>1</v>
      </c>
      <c r="T171" s="63">
        <f>IF(T$166&lt;=_xlfn.XLOOKUP(Sc1_variant,$D$69:$J$69,$D$70:$J$70),_xlfn.XLOOKUP($H$156,'Cons group &amp; variant assumption'!$A$106:$A$114,'Cons group &amp; variant assumption'!W$106:W$114),0)</f>
        <v>1</v>
      </c>
      <c r="U171" s="63">
        <f>IF(U$166&lt;=_xlfn.XLOOKUP(Sc1_variant,$D$69:$J$69,$D$70:$J$70),_xlfn.XLOOKUP($H$156,'Cons group &amp; variant assumption'!$A$106:$A$114,'Cons group &amp; variant assumption'!X$106:X$114),0)</f>
        <v>1</v>
      </c>
      <c r="V171" s="63">
        <f>IF(V$166&lt;=_xlfn.XLOOKUP(Sc1_variant,$D$69:$J$69,$D$70:$J$70),_xlfn.XLOOKUP($H$156,'Cons group &amp; variant assumption'!$A$106:$A$114,'Cons group &amp; variant assumption'!Y$106:Y$114),0)</f>
        <v>1</v>
      </c>
      <c r="W171" s="63">
        <f>IF(W$166&lt;=_xlfn.XLOOKUP(Sc1_variant,$D$69:$J$69,$D$70:$J$70),_xlfn.XLOOKUP($H$156,'Cons group &amp; variant assumption'!$A$106:$A$114,'Cons group &amp; variant assumption'!Z$106:Z$114),0)</f>
        <v>1</v>
      </c>
      <c r="X171" s="63">
        <f>IF(X$166&lt;=_xlfn.XLOOKUP(Sc1_variant,$D$69:$J$69,$D$70:$J$70),_xlfn.XLOOKUP($H$156,'Cons group &amp; variant assumption'!$A$106:$A$114,'Cons group &amp; variant assumption'!AA$106:AA$114),0)</f>
        <v>1</v>
      </c>
      <c r="Y171" s="63">
        <f>IF(Y$166&lt;=_xlfn.XLOOKUP(Sc1_variant,$D$69:$J$69,$D$70:$J$70),_xlfn.XLOOKUP($H$156,'Cons group &amp; variant assumption'!$A$106:$A$114,'Cons group &amp; variant assumption'!AB$106:AB$114),0)</f>
        <v>1</v>
      </c>
      <c r="Z171" s="63">
        <f>IF(Z$166&lt;=_xlfn.XLOOKUP(Sc1_variant,$D$69:$J$69,$D$70:$J$70),_xlfn.XLOOKUP($H$156,'Cons group &amp; variant assumption'!$A$106:$A$114,'Cons group &amp; variant assumption'!AC$106:AC$114),0)</f>
        <v>1</v>
      </c>
      <c r="AA171" s="63">
        <f>IF(AA$166&lt;=_xlfn.XLOOKUP(Sc1_variant,$D$69:$J$69,$D$70:$J$70),_xlfn.XLOOKUP($H$156,'Cons group &amp; variant assumption'!$A$106:$A$114,'Cons group &amp; variant assumption'!AD$106:AD$114),0)</f>
        <v>1</v>
      </c>
      <c r="AB171" s="63">
        <f>IF(AB$166&lt;=_xlfn.XLOOKUP(Sc1_variant,$D$69:$J$69,$D$70:$J$70),_xlfn.XLOOKUP($H$156,'Cons group &amp; variant assumption'!$A$106:$A$114,'Cons group &amp; variant assumption'!AE$106:AE$114),0)</f>
        <v>1</v>
      </c>
      <c r="AC171" s="63">
        <f>IF(AC$166&lt;=_xlfn.XLOOKUP(Sc1_variant,$D$69:$J$69,$D$70:$J$70),_xlfn.XLOOKUP($H$156,'Cons group &amp; variant assumption'!$A$106:$A$114,'Cons group &amp; variant assumption'!AF$106:AF$114),0)</f>
        <v>1</v>
      </c>
      <c r="AD171" s="63">
        <f>IF(AD$166&lt;=_xlfn.XLOOKUP(Sc1_variant,$D$69:$J$69,$D$70:$J$70),_xlfn.XLOOKUP($H$156,'Cons group &amp; variant assumption'!$A$106:$A$114,'Cons group &amp; variant assumption'!AG$106:AG$114),0)</f>
        <v>1</v>
      </c>
      <c r="AE171" s="63">
        <f>IF(AE$166&lt;=_xlfn.XLOOKUP(Sc1_variant,$D$69:$J$69,$D$70:$J$70),_xlfn.XLOOKUP($H$156,'Cons group &amp; variant assumption'!$A$106:$A$114,'Cons group &amp; variant assumption'!AH$106:AH$114),0)</f>
        <v>1</v>
      </c>
      <c r="AF171" s="63">
        <f>IF(AF$166&lt;=_xlfn.XLOOKUP(Sc1_variant,$D$69:$J$69,$D$70:$J$70),_xlfn.XLOOKUP($H$156,'Cons group &amp; variant assumption'!$A$106:$A$114,'Cons group &amp; variant assumption'!AI$106:AI$114),0)</f>
        <v>1</v>
      </c>
      <c r="AG171" s="63">
        <f>IF(AG$166&lt;=_xlfn.XLOOKUP(Sc1_variant,$D$69:$J$69,$D$70:$J$70),_xlfn.XLOOKUP($H$156,'Cons group &amp; variant assumption'!$A$106:$A$114,'Cons group &amp; variant assumption'!AJ$106:AJ$114),0)</f>
        <v>1</v>
      </c>
      <c r="AH171" s="63">
        <f>IF(AH$166&lt;=_xlfn.XLOOKUP(Sc1_variant,$D$69:$J$69,$D$70:$J$70),_xlfn.XLOOKUP($H$156,'Cons group &amp; variant assumption'!$A$106:$A$114,'Cons group &amp; variant assumption'!AK$106:AK$114),0)</f>
        <v>1</v>
      </c>
      <c r="AI171" s="63">
        <f>IF(AI$166&lt;=_xlfn.XLOOKUP(Sc1_variant,$D$69:$J$69,$D$70:$J$70),_xlfn.XLOOKUP($H$156,'Cons group &amp; variant assumption'!$A$106:$A$114,'Cons group &amp; variant assumption'!AL$106:AL$114),0)</f>
        <v>1</v>
      </c>
      <c r="AJ171" s="63">
        <f>IF(AJ$166&lt;=_xlfn.XLOOKUP(Sc1_variant,$D$69:$J$69,$D$70:$J$70),_xlfn.XLOOKUP($H$156,'Cons group &amp; variant assumption'!$A$106:$A$114,'Cons group &amp; variant assumption'!AM$106:AM$114),0)</f>
        <v>1</v>
      </c>
      <c r="AK171" s="63">
        <f>IF(AK$166&lt;=_xlfn.XLOOKUP(Sc1_variant,$D$69:$J$69,$D$70:$J$70),_xlfn.XLOOKUP($H$156,'Cons group &amp; variant assumption'!$A$106:$A$114,'Cons group &amp; variant assumption'!AN$106:AN$114),0)</f>
        <v>1</v>
      </c>
      <c r="AL171" s="63">
        <f>IF(AL$166&lt;=_xlfn.XLOOKUP(Sc1_variant,$D$69:$J$69,$D$70:$J$70),_xlfn.XLOOKUP($H$156,'Cons group &amp; variant assumption'!$A$106:$A$114,'Cons group &amp; variant assumption'!AO$106:AO$114),0)</f>
        <v>1</v>
      </c>
      <c r="AM171" s="63">
        <f>IF(AM$166&lt;=_xlfn.XLOOKUP(Sc1_variant,$D$69:$J$69,$D$70:$J$70),_xlfn.XLOOKUP($H$156,'Cons group &amp; variant assumption'!$A$106:$A$114,'Cons group &amp; variant assumption'!AP$106:AP$114),0)</f>
        <v>1</v>
      </c>
      <c r="AN171" s="63">
        <f>IF(AN$166&lt;=_xlfn.XLOOKUP(Sc1_variant,$D$69:$J$69,$D$70:$J$70),_xlfn.XLOOKUP($H$156,'Cons group &amp; variant assumption'!$A$106:$A$114,'Cons group &amp; variant assumption'!AQ$106:AQ$114),0)</f>
        <v>1</v>
      </c>
      <c r="AO171" s="63">
        <f>IF(AO$166&lt;=_xlfn.XLOOKUP(Sc1_variant,$D$69:$J$69,$D$70:$J$70),_xlfn.XLOOKUP($H$156,'Cons group &amp; variant assumption'!$A$106:$A$114,'Cons group &amp; variant assumption'!AR$106:AR$114),0)</f>
        <v>1</v>
      </c>
      <c r="AP171" s="63">
        <f>IF(AP$166&lt;=_xlfn.XLOOKUP(Sc1_variant,$D$69:$J$69,$D$70:$J$70),_xlfn.XLOOKUP($H$156,'Cons group &amp; variant assumption'!$A$106:$A$114,'Cons group &amp; variant assumption'!AS$106:AS$114),0)</f>
        <v>1</v>
      </c>
    </row>
    <row r="172" spans="1:42" ht="15.75" outlineLevel="2" thickBot="1" x14ac:dyDescent="0.3">
      <c r="A172" s="156" t="s">
        <v>172</v>
      </c>
      <c r="B172" s="70" t="s">
        <v>173</v>
      </c>
      <c r="C172" s="16" t="s">
        <v>35</v>
      </c>
      <c r="D172" s="224"/>
      <c r="E172" s="224"/>
      <c r="F172" s="224"/>
      <c r="G172" s="224"/>
      <c r="H172" s="224"/>
      <c r="I172" s="224"/>
      <c r="J172" s="224"/>
      <c r="K172" s="224"/>
      <c r="L172" s="168">
        <f t="shared" ref="L172:AP172" si="26">$D$163*L168*L169*L170*L171</f>
        <v>232.4254666114723</v>
      </c>
      <c r="M172" s="168">
        <f t="shared" si="26"/>
        <v>488.70880870232162</v>
      </c>
      <c r="N172" s="168">
        <f t="shared" si="26"/>
        <v>509.54495098988281</v>
      </c>
      <c r="O172" s="168">
        <f t="shared" si="26"/>
        <v>535.69668937099414</v>
      </c>
      <c r="P172" s="168">
        <f t="shared" si="26"/>
        <v>558.53616401101101</v>
      </c>
      <c r="Q172" s="168">
        <f t="shared" si="26"/>
        <v>533.8202848236748</v>
      </c>
      <c r="R172" s="168">
        <f t="shared" si="26"/>
        <v>510.1981122275397</v>
      </c>
      <c r="S172" s="168">
        <f t="shared" si="26"/>
        <v>487.62124842544171</v>
      </c>
      <c r="T172" s="168">
        <f t="shared" si="26"/>
        <v>466.04343727940517</v>
      </c>
      <c r="U172" s="168">
        <f t="shared" si="26"/>
        <v>445.42046953971635</v>
      </c>
      <c r="V172" s="168">
        <f t="shared" si="26"/>
        <v>425.71009226772082</v>
      </c>
      <c r="W172" s="168">
        <f t="shared" si="26"/>
        <v>406.87192226676939</v>
      </c>
      <c r="X172" s="168">
        <f t="shared" si="26"/>
        <v>388.86736334394476</v>
      </c>
      <c r="Y172" s="168">
        <f t="shared" si="26"/>
        <v>371.65952723305429</v>
      </c>
      <c r="Z172" s="168">
        <f t="shared" si="26"/>
        <v>355.21315801687308</v>
      </c>
      <c r="AA172" s="168">
        <f t="shared" si="26"/>
        <v>339.49455989379061</v>
      </c>
      <c r="AB172" s="168">
        <f t="shared" si="26"/>
        <v>324.47152814086837</v>
      </c>
      <c r="AC172" s="168">
        <f t="shared" si="26"/>
        <v>310.11328313186311</v>
      </c>
      <c r="AD172" s="168">
        <f t="shared" si="26"/>
        <v>296.39040727502925</v>
      </c>
      <c r="AE172" s="168">
        <f t="shared" si="26"/>
        <v>283.27478474149791</v>
      </c>
      <c r="AF172" s="168">
        <f t="shared" si="26"/>
        <v>270.7395438607453</v>
      </c>
      <c r="AG172" s="168">
        <f t="shared" si="26"/>
        <v>258.75900206512983</v>
      </c>
      <c r="AH172" s="168">
        <f t="shared" si="26"/>
        <v>247.30861327069658</v>
      </c>
      <c r="AI172" s="168">
        <f t="shared" si="26"/>
        <v>236.36491758644422</v>
      </c>
      <c r="AJ172" s="168">
        <f t="shared" si="26"/>
        <v>225.9054932490148</v>
      </c>
      <c r="AK172" s="168">
        <f t="shared" si="26"/>
        <v>215.90891068433029</v>
      </c>
      <c r="AL172" s="168">
        <f t="shared" si="26"/>
        <v>206.35468860205509</v>
      </c>
      <c r="AM172" s="168">
        <f t="shared" si="26"/>
        <v>197.22325203293047</v>
      </c>
      <c r="AN172" s="168">
        <f t="shared" si="26"/>
        <v>188.49589222300526</v>
      </c>
      <c r="AO172" s="168">
        <f t="shared" si="26"/>
        <v>180.15472830259512</v>
      </c>
      <c r="AP172" s="168">
        <f t="shared" si="26"/>
        <v>172.18267065143377</v>
      </c>
    </row>
    <row r="173" spans="1:42" ht="15.75" outlineLevel="2" thickTop="1" x14ac:dyDescent="0.25">
      <c r="A173" s="4"/>
    </row>
    <row r="174" spans="1:42" outlineLevel="2" x14ac:dyDescent="0.25">
      <c r="A174" s="4"/>
      <c r="B174" s="6" t="s">
        <v>174</v>
      </c>
      <c r="C174" s="6" t="s">
        <v>61</v>
      </c>
      <c r="D174" s="39" t="str">
        <f>C156</f>
        <v>Variant 1a</v>
      </c>
      <c r="E174" s="225" t="s">
        <v>32</v>
      </c>
      <c r="F174" s="225"/>
      <c r="G174" s="225"/>
      <c r="H174" s="225"/>
      <c r="I174" s="225"/>
      <c r="J174" s="225"/>
      <c r="K174" s="225"/>
      <c r="L174" s="225" t="s">
        <v>33</v>
      </c>
      <c r="M174" s="225"/>
      <c r="N174" s="225"/>
      <c r="O174" s="225"/>
      <c r="P174" s="225"/>
      <c r="Q174" s="225"/>
      <c r="R174" s="225"/>
    </row>
    <row r="175" spans="1:42" outlineLevel="2" x14ac:dyDescent="0.25">
      <c r="A175" s="4"/>
      <c r="B175" s="6" t="s">
        <v>175</v>
      </c>
      <c r="C175" s="6" t="s">
        <v>35</v>
      </c>
      <c r="D175" s="65">
        <f>SUM(L172:AP172)</f>
        <v>10669.479970821252</v>
      </c>
      <c r="E175" s="226" t="s">
        <v>154</v>
      </c>
      <c r="F175" s="226"/>
      <c r="G175" s="226"/>
      <c r="H175" s="226"/>
      <c r="I175" s="226"/>
      <c r="J175" s="226"/>
      <c r="K175" s="226"/>
      <c r="L175" s="226"/>
      <c r="M175" s="226"/>
      <c r="N175" s="226"/>
      <c r="O175" s="226"/>
      <c r="P175" s="226"/>
      <c r="Q175" s="226"/>
      <c r="R175" s="226"/>
    </row>
    <row r="176" spans="1:42" ht="14.45" customHeight="1" outlineLevel="2" x14ac:dyDescent="0.25">
      <c r="A176" s="4"/>
    </row>
    <row r="177" spans="1:42" x14ac:dyDescent="0.25">
      <c r="A177" s="43" t="s">
        <v>231</v>
      </c>
    </row>
    <row r="179" spans="1:42" outlineLevel="1" x14ac:dyDescent="0.25">
      <c r="B179" s="256" t="s">
        <v>474</v>
      </c>
      <c r="C179" s="256"/>
      <c r="D179" s="256"/>
      <c r="E179" s="256"/>
      <c r="F179" s="256"/>
      <c r="G179" s="256"/>
      <c r="H179" s="256"/>
      <c r="I179" s="256"/>
      <c r="J179" s="256"/>
      <c r="K179" s="256"/>
      <c r="L179" s="256"/>
      <c r="M179" s="256"/>
      <c r="N179" s="256"/>
      <c r="O179" s="256"/>
      <c r="P179" s="256"/>
      <c r="Q179" s="256"/>
      <c r="R179" s="256"/>
    </row>
    <row r="180" spans="1:42" outlineLevel="1" x14ac:dyDescent="0.25">
      <c r="B180" s="8"/>
      <c r="H180" s="8"/>
    </row>
    <row r="181" spans="1:42" outlineLevel="1" x14ac:dyDescent="0.25">
      <c r="B181" s="7" t="s">
        <v>28</v>
      </c>
      <c r="C181" s="151" t="str">
        <f>Sc1_variant</f>
        <v>Variant 1a</v>
      </c>
      <c r="E181" s="120" t="s">
        <v>475</v>
      </c>
      <c r="H181" s="165" t="str">
        <f>_xlfn.XLOOKUP(C181,$D$142:$J$142,$D$143:$J$143)</f>
        <v>Residential</v>
      </c>
    </row>
    <row r="183" spans="1:42" outlineLevel="2" x14ac:dyDescent="0.25">
      <c r="A183" s="4"/>
      <c r="B183" s="8" t="str">
        <f>"ITR calculation"&amp;" for "&amp;$C$181</f>
        <v>ITR calculation for Variant 1a</v>
      </c>
    </row>
    <row r="184" spans="1:42" ht="14.45" customHeight="1" outlineLevel="2" x14ac:dyDescent="0.25">
      <c r="A184" s="4"/>
    </row>
    <row r="185" spans="1:42" outlineLevel="2" x14ac:dyDescent="0.25">
      <c r="A185" s="4"/>
      <c r="B185" s="6" t="s">
        <v>127</v>
      </c>
      <c r="C185" s="6" t="s">
        <v>61</v>
      </c>
      <c r="D185" s="39" t="str">
        <f>C181</f>
        <v>Variant 1a</v>
      </c>
      <c r="E185" s="225" t="s">
        <v>32</v>
      </c>
      <c r="F185" s="225"/>
      <c r="G185" s="225"/>
      <c r="H185" s="225"/>
      <c r="I185" s="225"/>
      <c r="J185" s="225"/>
      <c r="K185" s="225"/>
      <c r="L185" s="225" t="s">
        <v>33</v>
      </c>
      <c r="M185" s="225"/>
      <c r="N185" s="225"/>
      <c r="O185" s="225"/>
      <c r="P185" s="225"/>
      <c r="Q185" s="225"/>
      <c r="R185" s="225"/>
    </row>
    <row r="186" spans="1:42" ht="29.1" customHeight="1" outlineLevel="2" x14ac:dyDescent="0.25">
      <c r="A186" s="19" t="s">
        <v>162</v>
      </c>
      <c r="B186" s="6" t="s">
        <v>127</v>
      </c>
      <c r="C186" s="5" t="s">
        <v>35</v>
      </c>
      <c r="D186" s="171">
        <f>_xlfn.XLOOKUP($C$181,$D$145:$J$145,$D$147:$J$147)</f>
        <v>225.3000923361034</v>
      </c>
      <c r="E186" s="226" t="s">
        <v>128</v>
      </c>
      <c r="F186" s="226"/>
      <c r="G186" s="226"/>
      <c r="H186" s="226"/>
      <c r="I186" s="226"/>
      <c r="J186" s="226"/>
      <c r="K186" s="226"/>
      <c r="L186" s="226" t="s">
        <v>472</v>
      </c>
      <c r="M186" s="226"/>
      <c r="N186" s="226"/>
      <c r="O186" s="226"/>
      <c r="P186" s="226"/>
      <c r="Q186" s="226"/>
      <c r="R186" s="226"/>
    </row>
    <row r="187" spans="1:42" outlineLevel="2" x14ac:dyDescent="0.25">
      <c r="A187" s="19"/>
      <c r="B187" s="7"/>
      <c r="D187" s="78"/>
    </row>
    <row r="188" spans="1:42" outlineLevel="2" x14ac:dyDescent="0.25">
      <c r="A188" s="19"/>
      <c r="B188" s="7"/>
      <c r="D188" s="78"/>
      <c r="L188" s="247" t="s">
        <v>139</v>
      </c>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9"/>
    </row>
    <row r="189" spans="1:42" outlineLevel="2" x14ac:dyDescent="0.25">
      <c r="A189" s="4"/>
      <c r="B189" s="6" t="s">
        <v>176</v>
      </c>
      <c r="C189" s="6" t="s">
        <v>61</v>
      </c>
      <c r="D189" s="225" t="s">
        <v>32</v>
      </c>
      <c r="E189" s="225"/>
      <c r="F189" s="225"/>
      <c r="G189" s="225"/>
      <c r="H189" s="255" t="s">
        <v>33</v>
      </c>
      <c r="I189" s="255"/>
      <c r="J189" s="255"/>
      <c r="K189" s="255"/>
      <c r="L189" s="6">
        <v>0</v>
      </c>
      <c r="M189" s="6">
        <v>1</v>
      </c>
      <c r="N189" s="6">
        <v>2</v>
      </c>
      <c r="O189" s="6">
        <v>3</v>
      </c>
      <c r="P189" s="6">
        <v>4</v>
      </c>
      <c r="Q189" s="6">
        <v>5</v>
      </c>
      <c r="R189" s="6">
        <v>6</v>
      </c>
      <c r="S189" s="6">
        <v>7</v>
      </c>
      <c r="T189" s="6">
        <v>8</v>
      </c>
      <c r="U189" s="6">
        <v>9</v>
      </c>
      <c r="V189" s="6">
        <v>10</v>
      </c>
      <c r="W189" s="6">
        <v>11</v>
      </c>
      <c r="X189" s="6">
        <v>12</v>
      </c>
      <c r="Y189" s="6">
        <v>13</v>
      </c>
      <c r="Z189" s="6">
        <v>14</v>
      </c>
      <c r="AA189" s="6">
        <v>15</v>
      </c>
      <c r="AB189" s="6">
        <v>16</v>
      </c>
      <c r="AC189" s="6">
        <v>17</v>
      </c>
      <c r="AD189" s="6">
        <v>18</v>
      </c>
      <c r="AE189" s="6">
        <v>19</v>
      </c>
      <c r="AF189" s="6">
        <v>20</v>
      </c>
      <c r="AG189" s="6">
        <v>21</v>
      </c>
      <c r="AH189" s="6">
        <v>22</v>
      </c>
      <c r="AI189" s="6">
        <v>23</v>
      </c>
      <c r="AJ189" s="6">
        <v>24</v>
      </c>
      <c r="AK189" s="6">
        <v>25</v>
      </c>
      <c r="AL189" s="6">
        <v>26</v>
      </c>
      <c r="AM189" s="6">
        <v>27</v>
      </c>
      <c r="AN189" s="6">
        <v>28</v>
      </c>
      <c r="AO189" s="6">
        <v>29</v>
      </c>
      <c r="AP189" s="6">
        <v>30</v>
      </c>
    </row>
    <row r="190" spans="1:42" outlineLevel="2" x14ac:dyDescent="0.25">
      <c r="A190" s="4"/>
      <c r="B190" s="5" t="s">
        <v>140</v>
      </c>
      <c r="C190" s="5" t="s">
        <v>141</v>
      </c>
      <c r="D190" s="223" t="s">
        <v>142</v>
      </c>
      <c r="E190" s="223"/>
      <c r="F190" s="223"/>
      <c r="G190" s="223"/>
      <c r="H190" s="223"/>
      <c r="I190" s="223"/>
      <c r="J190" s="223"/>
      <c r="K190" s="223"/>
      <c r="L190" s="63">
        <f>L$168</f>
        <v>1</v>
      </c>
      <c r="M190" s="63">
        <f t="shared" ref="M190:AP190" si="27">M$168</f>
        <v>0.95574882920768423</v>
      </c>
      <c r="N190" s="63">
        <f t="shared" si="27"/>
        <v>0.91345582453185914</v>
      </c>
      <c r="O190" s="63">
        <f t="shared" si="27"/>
        <v>0.87303433482926418</v>
      </c>
      <c r="P190" s="63">
        <f t="shared" si="27"/>
        <v>0.83440154337117856</v>
      </c>
      <c r="Q190" s="63">
        <f t="shared" si="27"/>
        <v>0.79747829816608862</v>
      </c>
      <c r="R190" s="63">
        <f t="shared" si="27"/>
        <v>0.76218894979077567</v>
      </c>
      <c r="S190" s="63">
        <f t="shared" si="27"/>
        <v>0.72846119639756823</v>
      </c>
      <c r="T190" s="63">
        <f t="shared" si="27"/>
        <v>0.69622593558020462</v>
      </c>
      <c r="U190" s="63">
        <f t="shared" si="27"/>
        <v>0.66541712279480525</v>
      </c>
      <c r="V190" s="63">
        <f t="shared" si="27"/>
        <v>0.63597163604588081</v>
      </c>
      <c r="W190" s="63">
        <f t="shared" si="27"/>
        <v>0.60782914656014608</v>
      </c>
      <c r="X190" s="63">
        <f t="shared" si="27"/>
        <v>0.58093199518316552</v>
      </c>
      <c r="Y190" s="63">
        <f t="shared" si="27"/>
        <v>0.55522507424559442</v>
      </c>
      <c r="Z190" s="63">
        <f t="shared" si="27"/>
        <v>0.53065571465697647</v>
      </c>
      <c r="AA190" s="63">
        <f t="shared" si="27"/>
        <v>0.50717357799577223</v>
      </c>
      <c r="AB190" s="63">
        <f t="shared" si="27"/>
        <v>0.48473055337453136</v>
      </c>
      <c r="AC190" s="63">
        <f t="shared" si="27"/>
        <v>0.46328065886890124</v>
      </c>
      <c r="AD190" s="63">
        <f t="shared" si="27"/>
        <v>0.44277994730851689</v>
      </c>
      <c r="AE190" s="63">
        <f t="shared" si="27"/>
        <v>0.42318641623675513</v>
      </c>
      <c r="AF190" s="63">
        <f t="shared" si="27"/>
        <v>0.40445992185487434</v>
      </c>
      <c r="AG190" s="63">
        <f t="shared" si="27"/>
        <v>0.38656209677422765</v>
      </c>
      <c r="AH190" s="63">
        <f t="shared" si="27"/>
        <v>0.36945627140803561</v>
      </c>
      <c r="AI190" s="63">
        <f t="shared" si="27"/>
        <v>0.35310739884166642</v>
      </c>
      <c r="AJ190" s="63">
        <f t="shared" si="27"/>
        <v>0.33748198302749344</v>
      </c>
      <c r="AK190" s="63">
        <f t="shared" si="27"/>
        <v>0.3225480101572144</v>
      </c>
      <c r="AL190" s="63">
        <f t="shared" si="27"/>
        <v>0.30827488307102585</v>
      </c>
      <c r="AM190" s="63">
        <f t="shared" si="27"/>
        <v>0.29463335856926876</v>
      </c>
      <c r="AN190" s="63">
        <f t="shared" si="27"/>
        <v>0.28159548749810637</v>
      </c>
      <c r="AO190" s="63">
        <f t="shared" si="27"/>
        <v>0.26913455748648224</v>
      </c>
      <c r="AP190" s="63">
        <f t="shared" si="27"/>
        <v>0.25722503821703363</v>
      </c>
    </row>
    <row r="191" spans="1:42" ht="14.45" customHeight="1" outlineLevel="2" x14ac:dyDescent="0.25">
      <c r="A191" s="19" t="s">
        <v>166</v>
      </c>
      <c r="B191" s="5" t="s">
        <v>143</v>
      </c>
      <c r="C191" s="5" t="s">
        <v>144</v>
      </c>
      <c r="D191" s="223" t="s">
        <v>145</v>
      </c>
      <c r="E191" s="223"/>
      <c r="F191" s="223"/>
      <c r="G191" s="223"/>
      <c r="H191" s="223" t="s">
        <v>459</v>
      </c>
      <c r="I191" s="223"/>
      <c r="J191" s="223"/>
      <c r="K191" s="223"/>
      <c r="L191" s="63">
        <f t="shared" ref="L191:AP191" si="28">IF(L$189&lt;=_xlfn.XLOOKUP(Sc1_variant,$D$69:$J$69,$D$70:$J$70),L$77,0)</f>
        <v>1</v>
      </c>
      <c r="M191" s="63">
        <f t="shared" si="28"/>
        <v>0.95574882920768423</v>
      </c>
      <c r="N191" s="63">
        <f t="shared" si="28"/>
        <v>0.91345582453185914</v>
      </c>
      <c r="O191" s="63">
        <f t="shared" si="28"/>
        <v>0.87303433482926418</v>
      </c>
      <c r="P191" s="63">
        <f t="shared" si="28"/>
        <v>0.83440154337117856</v>
      </c>
      <c r="Q191" s="63">
        <f t="shared" si="28"/>
        <v>0.79747829816608862</v>
      </c>
      <c r="R191" s="63">
        <f t="shared" si="28"/>
        <v>0.76218894979077567</v>
      </c>
      <c r="S191" s="63">
        <f t="shared" si="28"/>
        <v>0.72846119639756823</v>
      </c>
      <c r="T191" s="63">
        <f t="shared" si="28"/>
        <v>0.69622593558020462</v>
      </c>
      <c r="U191" s="63">
        <f t="shared" si="28"/>
        <v>0.66541712279480525</v>
      </c>
      <c r="V191" s="63">
        <f t="shared" si="28"/>
        <v>0.63597163604588081</v>
      </c>
      <c r="W191" s="63">
        <f t="shared" si="28"/>
        <v>0.60782914656014608</v>
      </c>
      <c r="X191" s="63">
        <f t="shared" si="28"/>
        <v>0.58093199518316552</v>
      </c>
      <c r="Y191" s="63">
        <f t="shared" si="28"/>
        <v>0.55522507424559442</v>
      </c>
      <c r="Z191" s="63">
        <f t="shared" si="28"/>
        <v>0.53065571465697647</v>
      </c>
      <c r="AA191" s="63">
        <f t="shared" si="28"/>
        <v>0.50717357799577223</v>
      </c>
      <c r="AB191" s="63">
        <f t="shared" si="28"/>
        <v>0.48473055337453136</v>
      </c>
      <c r="AC191" s="63">
        <f t="shared" si="28"/>
        <v>0.46328065886890124</v>
      </c>
      <c r="AD191" s="63">
        <f t="shared" si="28"/>
        <v>0.44277994730851689</v>
      </c>
      <c r="AE191" s="63">
        <f t="shared" si="28"/>
        <v>0.42318641623675513</v>
      </c>
      <c r="AF191" s="63">
        <f t="shared" si="28"/>
        <v>0.40445992185487434</v>
      </c>
      <c r="AG191" s="63">
        <f t="shared" si="28"/>
        <v>0.38656209677422765</v>
      </c>
      <c r="AH191" s="63">
        <f t="shared" si="28"/>
        <v>0.36945627140803561</v>
      </c>
      <c r="AI191" s="63">
        <f t="shared" si="28"/>
        <v>0.35310739884166642</v>
      </c>
      <c r="AJ191" s="63">
        <f t="shared" si="28"/>
        <v>0.33748198302749344</v>
      </c>
      <c r="AK191" s="63">
        <f t="shared" si="28"/>
        <v>0.3225480101572144</v>
      </c>
      <c r="AL191" s="63">
        <f t="shared" si="28"/>
        <v>0.30827488307102585</v>
      </c>
      <c r="AM191" s="63">
        <f t="shared" si="28"/>
        <v>0.29463335856926876</v>
      </c>
      <c r="AN191" s="63">
        <f t="shared" si="28"/>
        <v>0.28159548749810637</v>
      </c>
      <c r="AO191" s="63">
        <f t="shared" si="28"/>
        <v>0.26913455748648224</v>
      </c>
      <c r="AP191" s="63">
        <f t="shared" si="28"/>
        <v>0.25722503821703363</v>
      </c>
    </row>
    <row r="192" spans="1:42" ht="29.1" customHeight="1" outlineLevel="2" x14ac:dyDescent="0.25">
      <c r="A192" s="19" t="s">
        <v>168</v>
      </c>
      <c r="B192" s="5" t="s">
        <v>295</v>
      </c>
      <c r="C192" s="5" t="s">
        <v>144</v>
      </c>
      <c r="D192" s="223" t="s">
        <v>151</v>
      </c>
      <c r="E192" s="223"/>
      <c r="F192" s="223"/>
      <c r="G192" s="223"/>
      <c r="H192" s="223" t="s">
        <v>292</v>
      </c>
      <c r="I192" s="223"/>
      <c r="J192" s="223"/>
      <c r="K192" s="223"/>
      <c r="L192" s="63">
        <f>IF(L$189&lt;=_xlfn.XLOOKUP(Sc1_variant,$D$69:$J$69,$D$70:$J$70),'Distributor assumptions'!K$16,0)</f>
        <v>1</v>
      </c>
      <c r="M192" s="63">
        <f>IF(M$189&lt;=_xlfn.XLOOKUP(Sc1_variant,$D$69:$J$69,$D$70:$J$70),'Distributor assumptions'!L$16,0)</f>
        <v>1.1499999999999999</v>
      </c>
      <c r="N192" s="63">
        <f>IF(N$189&lt;=_xlfn.XLOOKUP(Sc1_variant,$D$69:$J$69,$D$70:$J$70),'Distributor assumptions'!M$16,0)</f>
        <v>1.1599999999999999</v>
      </c>
      <c r="O192" s="63">
        <f>IF(O$189&lt;=_xlfn.XLOOKUP(Sc1_variant,$D$69:$J$69,$D$70:$J$70),'Distributor assumptions'!N$16,0)</f>
        <v>1.19</v>
      </c>
      <c r="P192" s="63">
        <f>IF(P$189&lt;=_xlfn.XLOOKUP(Sc1_variant,$D$69:$J$69,$D$70:$J$70),'Distributor assumptions'!O$16,0)</f>
        <v>1.21</v>
      </c>
      <c r="Q192" s="63">
        <f>IF(Q$189&lt;=_xlfn.XLOOKUP(Sc1_variant,$D$69:$J$69,$D$70:$J$70),'Distributor assumptions'!P$16,0)</f>
        <v>1.24</v>
      </c>
      <c r="R192" s="63">
        <f>IF(R$189&lt;=_xlfn.XLOOKUP(Sc1_variant,$D$69:$J$69,$D$70:$J$70),'Distributor assumptions'!Q$16,0)</f>
        <v>1.2</v>
      </c>
      <c r="S192" s="63">
        <f>IF(S$189&lt;=_xlfn.XLOOKUP(Sc1_variant,$D$69:$J$69,$D$70:$J$70),'Distributor assumptions'!R$16,0)</f>
        <v>1.2</v>
      </c>
      <c r="T192" s="63">
        <f>IF(T$189&lt;=_xlfn.XLOOKUP(Sc1_variant,$D$69:$J$69,$D$70:$J$70),'Distributor assumptions'!S$16,0)</f>
        <v>1.2</v>
      </c>
      <c r="U192" s="63">
        <f>IF(U$189&lt;=_xlfn.XLOOKUP(Sc1_variant,$D$69:$J$69,$D$70:$J$70),'Distributor assumptions'!T$16,0)</f>
        <v>1.2</v>
      </c>
      <c r="V192" s="63">
        <f>IF(V$189&lt;=_xlfn.XLOOKUP(Sc1_variant,$D$69:$J$69,$D$70:$J$70),'Distributor assumptions'!U$16,0)</f>
        <v>1.2</v>
      </c>
      <c r="W192" s="63">
        <f>IF(W$189&lt;=_xlfn.XLOOKUP(Sc1_variant,$D$69:$J$69,$D$70:$J$70),'Distributor assumptions'!V$16,0)</f>
        <v>1.2</v>
      </c>
      <c r="X192" s="63">
        <f>IF(X$189&lt;=_xlfn.XLOOKUP(Sc1_variant,$D$69:$J$69,$D$70:$J$70),'Distributor assumptions'!W$16,0)</f>
        <v>1.2</v>
      </c>
      <c r="Y192" s="63">
        <f>IF(Y$189&lt;=_xlfn.XLOOKUP(Sc1_variant,$D$69:$J$69,$D$70:$J$70),'Distributor assumptions'!X$16,0)</f>
        <v>1.2</v>
      </c>
      <c r="Z192" s="63">
        <f>IF(Z$189&lt;=_xlfn.XLOOKUP(Sc1_variant,$D$69:$J$69,$D$70:$J$70),'Distributor assumptions'!Y$16,0)</f>
        <v>1.2</v>
      </c>
      <c r="AA192" s="63">
        <f>IF(AA$189&lt;=_xlfn.XLOOKUP(Sc1_variant,$D$69:$J$69,$D$70:$J$70),'Distributor assumptions'!Z$16,0)</f>
        <v>1.2</v>
      </c>
      <c r="AB192" s="63">
        <f>IF(AB$189&lt;=_xlfn.XLOOKUP(Sc1_variant,$D$69:$J$69,$D$70:$J$70),'Distributor assumptions'!AA$16,0)</f>
        <v>1.2</v>
      </c>
      <c r="AC192" s="63">
        <f>IF(AC$189&lt;=_xlfn.XLOOKUP(Sc1_variant,$D$69:$J$69,$D$70:$J$70),'Distributor assumptions'!AB$16,0)</f>
        <v>1.2</v>
      </c>
      <c r="AD192" s="63">
        <f>IF(AD$189&lt;=_xlfn.XLOOKUP(Sc1_variant,$D$69:$J$69,$D$70:$J$70),'Distributor assumptions'!AC$16,0)</f>
        <v>1.2</v>
      </c>
      <c r="AE192" s="63">
        <f>IF(AE$189&lt;=_xlfn.XLOOKUP(Sc1_variant,$D$69:$J$69,$D$70:$J$70),'Distributor assumptions'!AD$16,0)</f>
        <v>1.2</v>
      </c>
      <c r="AF192" s="63">
        <f>IF(AF$189&lt;=_xlfn.XLOOKUP(Sc1_variant,$D$69:$J$69,$D$70:$J$70),'Distributor assumptions'!AE$16,0)</f>
        <v>1.2</v>
      </c>
      <c r="AG192" s="63">
        <f>IF(AG$189&lt;=_xlfn.XLOOKUP(Sc1_variant,$D$69:$J$69,$D$70:$J$70),'Distributor assumptions'!AF$16,0)</f>
        <v>1.2</v>
      </c>
      <c r="AH192" s="63">
        <f>IF(AH$189&lt;=_xlfn.XLOOKUP(Sc1_variant,$D$69:$J$69,$D$70:$J$70),'Distributor assumptions'!AG$16,0)</f>
        <v>1.2</v>
      </c>
      <c r="AI192" s="63">
        <f>IF(AI$189&lt;=_xlfn.XLOOKUP(Sc1_variant,$D$69:$J$69,$D$70:$J$70),'Distributor assumptions'!AH$16,0)</f>
        <v>1.2</v>
      </c>
      <c r="AJ192" s="63">
        <f>IF(AJ$189&lt;=_xlfn.XLOOKUP(Sc1_variant,$D$69:$J$69,$D$70:$J$70),'Distributor assumptions'!AI$16,0)</f>
        <v>1.2</v>
      </c>
      <c r="AK192" s="63">
        <f>IF(AK$189&lt;=_xlfn.XLOOKUP(Sc1_variant,$D$69:$J$69,$D$70:$J$70),'Distributor assumptions'!AJ$16,0)</f>
        <v>1.2</v>
      </c>
      <c r="AL192" s="63">
        <f>IF(AL$189&lt;=_xlfn.XLOOKUP(Sc1_variant,$D$69:$J$69,$D$70:$J$70),'Distributor assumptions'!AK$16,0)</f>
        <v>1.2</v>
      </c>
      <c r="AM192" s="63">
        <f>IF(AM$189&lt;=_xlfn.XLOOKUP(Sc1_variant,$D$69:$J$69,$D$70:$J$70),'Distributor assumptions'!AL$16,0)</f>
        <v>1.2</v>
      </c>
      <c r="AN192" s="63">
        <f>IF(AN$189&lt;=_xlfn.XLOOKUP(Sc1_variant,$D$69:$J$69,$D$70:$J$70),'Distributor assumptions'!AM$16,0)</f>
        <v>1.2</v>
      </c>
      <c r="AO192" s="63">
        <f>IF(AO$189&lt;=_xlfn.XLOOKUP(Sc1_variant,$D$69:$J$69,$D$70:$J$70),'Distributor assumptions'!AN$16,0)</f>
        <v>1.2</v>
      </c>
      <c r="AP192" s="63">
        <f>IF(AP$189&lt;=_xlfn.XLOOKUP(Sc1_variant,$D$69:$J$69,$D$70:$J$70),'Distributor assumptions'!AO$16,0)</f>
        <v>1.2</v>
      </c>
    </row>
    <row r="193" spans="1:42" ht="14.45" customHeight="1" outlineLevel="2" x14ac:dyDescent="0.25">
      <c r="A193" s="19" t="s">
        <v>170</v>
      </c>
      <c r="B193" s="5" t="s">
        <v>296</v>
      </c>
      <c r="C193" s="5" t="s">
        <v>144</v>
      </c>
      <c r="D193" s="223" t="s">
        <v>148</v>
      </c>
      <c r="E193" s="223"/>
      <c r="F193" s="223"/>
      <c r="G193" s="223"/>
      <c r="H193" s="223" t="s">
        <v>478</v>
      </c>
      <c r="I193" s="223"/>
      <c r="J193" s="223"/>
      <c r="K193" s="223"/>
      <c r="L193" s="63">
        <f>IF(L$189&lt;=_xlfn.XLOOKUP(Sc1_variant,$D$69:$J$69,$D$70:$J$70),_xlfn.XLOOKUP($H$181,'Cons group &amp; variant assumption'!$A$88:$A$96,'Cons group &amp; variant assumption'!O$88:O$96),0)</f>
        <v>1</v>
      </c>
      <c r="M193" s="63">
        <f>IF(M$189&lt;=_xlfn.XLOOKUP(Sc1_variant,$D$69:$J$69,$D$70:$J$70),_xlfn.XLOOKUP($H$181,'Cons group &amp; variant assumption'!$A$88:$A$96,'Cons group &amp; variant assumption'!P$88:P$96),0)</f>
        <v>0.97</v>
      </c>
      <c r="N193" s="63">
        <f>IF(N$189&lt;=_xlfn.XLOOKUP(Sc1_variant,$D$69:$J$69,$D$70:$J$70),_xlfn.XLOOKUP($H$181,'Cons group &amp; variant assumption'!$A$88:$A$96,'Cons group &amp; variant assumption'!Q$88:Q$96),0)</f>
        <v>0.94</v>
      </c>
      <c r="O193" s="63">
        <f>IF(O$189&lt;=_xlfn.XLOOKUP(Sc1_variant,$D$69:$J$69,$D$70:$J$70),_xlfn.XLOOKUP($H$181,'Cons group &amp; variant assumption'!$A$88:$A$96,'Cons group &amp; variant assumption'!R$88:R$96),0)</f>
        <v>0.9</v>
      </c>
      <c r="P193" s="63">
        <f>IF(P$189&lt;=_xlfn.XLOOKUP(Sc1_variant,$D$69:$J$69,$D$70:$J$70),_xlfn.XLOOKUP($H$181,'Cons group &amp; variant assumption'!$A$88:$A$96,'Cons group &amp; variant assumption'!S$88:S$96),0)</f>
        <v>0.87</v>
      </c>
      <c r="Q193" s="63">
        <f>IF(Q$189&lt;=_xlfn.XLOOKUP(Sc1_variant,$D$69:$J$69,$D$70:$J$70),_xlfn.XLOOKUP($H$181,'Cons group &amp; variant assumption'!$A$88:$A$96,'Cons group &amp; variant assumption'!T$88:T$96),0)</f>
        <v>0.84</v>
      </c>
      <c r="R193" s="63">
        <f>IF(R$189&lt;=_xlfn.XLOOKUP(Sc1_variant,$D$69:$J$69,$D$70:$J$70),_xlfn.XLOOKUP($H$181,'Cons group &amp; variant assumption'!$A$88:$A$96,'Cons group &amp; variant assumption'!U$88:U$96),0)</f>
        <v>0.84</v>
      </c>
      <c r="S193" s="63">
        <f>IF(S$189&lt;=_xlfn.XLOOKUP(Sc1_variant,$D$69:$J$69,$D$70:$J$70),_xlfn.XLOOKUP($H$181,'Cons group &amp; variant assumption'!$A$88:$A$96,'Cons group &amp; variant assumption'!V$88:V$96),0)</f>
        <v>0.84</v>
      </c>
      <c r="T193" s="63">
        <f>IF(T$189&lt;=_xlfn.XLOOKUP(Sc1_variant,$D$69:$J$69,$D$70:$J$70),_xlfn.XLOOKUP($H$181,'Cons group &amp; variant assumption'!$A$88:$A$96,'Cons group &amp; variant assumption'!W$88:W$96),0)</f>
        <v>0.84</v>
      </c>
      <c r="U193" s="63">
        <f>IF(U$189&lt;=_xlfn.XLOOKUP(Sc1_variant,$D$69:$J$69,$D$70:$J$70),_xlfn.XLOOKUP($H$181,'Cons group &amp; variant assumption'!$A$88:$A$96,'Cons group &amp; variant assumption'!X$88:X$96),0)</f>
        <v>0.84</v>
      </c>
      <c r="V193" s="63">
        <f>IF(V$189&lt;=_xlfn.XLOOKUP(Sc1_variant,$D$69:$J$69,$D$70:$J$70),_xlfn.XLOOKUP($H$181,'Cons group &amp; variant assumption'!$A$88:$A$96,'Cons group &amp; variant assumption'!Y$88:Y$96),0)</f>
        <v>0.84</v>
      </c>
      <c r="W193" s="63">
        <f>IF(W$189&lt;=_xlfn.XLOOKUP(Sc1_variant,$D$69:$J$69,$D$70:$J$70),_xlfn.XLOOKUP($H$181,'Cons group &amp; variant assumption'!$A$88:$A$96,'Cons group &amp; variant assumption'!Z$88:Z$96),0)</f>
        <v>0.84</v>
      </c>
      <c r="X193" s="63">
        <f>IF(X$189&lt;=_xlfn.XLOOKUP(Sc1_variant,$D$69:$J$69,$D$70:$J$70),_xlfn.XLOOKUP($H$181,'Cons group &amp; variant assumption'!$A$88:$A$96,'Cons group &amp; variant assumption'!AA$88:AA$96),0)</f>
        <v>0.84</v>
      </c>
      <c r="Y193" s="63">
        <f>IF(Y$189&lt;=_xlfn.XLOOKUP(Sc1_variant,$D$69:$J$69,$D$70:$J$70),_xlfn.XLOOKUP($H$181,'Cons group &amp; variant assumption'!$A$88:$A$96,'Cons group &amp; variant assumption'!AB$88:AB$96),0)</f>
        <v>0.84</v>
      </c>
      <c r="Z193" s="63">
        <f>IF(Z$189&lt;=_xlfn.XLOOKUP(Sc1_variant,$D$69:$J$69,$D$70:$J$70),_xlfn.XLOOKUP($H$181,'Cons group &amp; variant assumption'!$A$88:$A$96,'Cons group &amp; variant assumption'!AC$88:AC$96),0)</f>
        <v>0.84</v>
      </c>
      <c r="AA193" s="63">
        <f>IF(AA$189&lt;=_xlfn.XLOOKUP(Sc1_variant,$D$69:$J$69,$D$70:$J$70),_xlfn.XLOOKUP($H$181,'Cons group &amp; variant assumption'!$A$88:$A$96,'Cons group &amp; variant assumption'!AD$88:AD$96),0)</f>
        <v>0.84</v>
      </c>
      <c r="AB193" s="63">
        <f>IF(AB$189&lt;=_xlfn.XLOOKUP(Sc1_variant,$D$69:$J$69,$D$70:$J$70),_xlfn.XLOOKUP($H$181,'Cons group &amp; variant assumption'!$A$88:$A$96,'Cons group &amp; variant assumption'!AE$88:AE$96),0)</f>
        <v>0.84</v>
      </c>
      <c r="AC193" s="63">
        <f>IF(AC$189&lt;=_xlfn.XLOOKUP(Sc1_variant,$D$69:$J$69,$D$70:$J$70),_xlfn.XLOOKUP($H$181,'Cons group &amp; variant assumption'!$A$88:$A$96,'Cons group &amp; variant assumption'!AF$88:AF$96),0)</f>
        <v>0.84</v>
      </c>
      <c r="AD193" s="63">
        <f>IF(AD$189&lt;=_xlfn.XLOOKUP(Sc1_variant,$D$69:$J$69,$D$70:$J$70),_xlfn.XLOOKUP($H$181,'Cons group &amp; variant assumption'!$A$88:$A$96,'Cons group &amp; variant assumption'!AG$88:AG$96),0)</f>
        <v>0.84</v>
      </c>
      <c r="AE193" s="63">
        <f>IF(AE$189&lt;=_xlfn.XLOOKUP(Sc1_variant,$D$69:$J$69,$D$70:$J$70),_xlfn.XLOOKUP($H$181,'Cons group &amp; variant assumption'!$A$88:$A$96,'Cons group &amp; variant assumption'!AH$88:AH$96),0)</f>
        <v>0.84</v>
      </c>
      <c r="AF193" s="63">
        <f>IF(AF$189&lt;=_xlfn.XLOOKUP(Sc1_variant,$D$69:$J$69,$D$70:$J$70),_xlfn.XLOOKUP($H$181,'Cons group &amp; variant assumption'!$A$88:$A$96,'Cons group &amp; variant assumption'!AI$88:AI$96),0)</f>
        <v>0.84</v>
      </c>
      <c r="AG193" s="63">
        <f>IF(AG$189&lt;=_xlfn.XLOOKUP(Sc1_variant,$D$69:$J$69,$D$70:$J$70),_xlfn.XLOOKUP($H$181,'Cons group &amp; variant assumption'!$A$88:$A$96,'Cons group &amp; variant assumption'!AJ$88:AJ$96),0)</f>
        <v>0.84</v>
      </c>
      <c r="AH193" s="63">
        <f>IF(AH$189&lt;=_xlfn.XLOOKUP(Sc1_variant,$D$69:$J$69,$D$70:$J$70),_xlfn.XLOOKUP($H$181,'Cons group &amp; variant assumption'!$A$88:$A$96,'Cons group &amp; variant assumption'!AK$88:AK$96),0)</f>
        <v>0.84</v>
      </c>
      <c r="AI193" s="63">
        <f>IF(AI$189&lt;=_xlfn.XLOOKUP(Sc1_variant,$D$69:$J$69,$D$70:$J$70),_xlfn.XLOOKUP($H$181,'Cons group &amp; variant assumption'!$A$88:$A$96,'Cons group &amp; variant assumption'!AL$88:AL$96),0)</f>
        <v>0.84</v>
      </c>
      <c r="AJ193" s="63">
        <f>IF(AJ$189&lt;=_xlfn.XLOOKUP(Sc1_variant,$D$69:$J$69,$D$70:$J$70),_xlfn.XLOOKUP($H$181,'Cons group &amp; variant assumption'!$A$88:$A$96,'Cons group &amp; variant assumption'!AM$88:AM$96),0)</f>
        <v>0.84</v>
      </c>
      <c r="AK193" s="63">
        <f>IF(AK$189&lt;=_xlfn.XLOOKUP(Sc1_variant,$D$69:$J$69,$D$70:$J$70),_xlfn.XLOOKUP($H$181,'Cons group &amp; variant assumption'!$A$88:$A$96,'Cons group &amp; variant assumption'!AN$88:AN$96),0)</f>
        <v>0.84</v>
      </c>
      <c r="AL193" s="63">
        <f>IF(AL$189&lt;=_xlfn.XLOOKUP(Sc1_variant,$D$69:$J$69,$D$70:$J$70),_xlfn.XLOOKUP($H$181,'Cons group &amp; variant assumption'!$A$88:$A$96,'Cons group &amp; variant assumption'!AO$88:AO$96),0)</f>
        <v>0.84</v>
      </c>
      <c r="AM193" s="63">
        <f>IF(AM$189&lt;=_xlfn.XLOOKUP(Sc1_variant,$D$69:$J$69,$D$70:$J$70),_xlfn.XLOOKUP($H$181,'Cons group &amp; variant assumption'!$A$88:$A$96,'Cons group &amp; variant assumption'!AP$88:AP$96),0)</f>
        <v>0.84</v>
      </c>
      <c r="AN193" s="63">
        <f>IF(AN$189&lt;=_xlfn.XLOOKUP(Sc1_variant,$D$69:$J$69,$D$70:$J$70),_xlfn.XLOOKUP($H$181,'Cons group &amp; variant assumption'!$A$88:$A$96,'Cons group &amp; variant assumption'!AQ$88:AQ$96),0)</f>
        <v>0.84</v>
      </c>
      <c r="AO193" s="63">
        <f>IF(AO$189&lt;=_xlfn.XLOOKUP(Sc1_variant,$D$69:$J$69,$D$70:$J$70),_xlfn.XLOOKUP($H$181,'Cons group &amp; variant assumption'!$A$88:$A$96,'Cons group &amp; variant assumption'!AR$88:AR$96),0)</f>
        <v>0.84</v>
      </c>
      <c r="AP193" s="63">
        <f>IF(AP$189&lt;=_xlfn.XLOOKUP(Sc1_variant,$D$69:$J$69,$D$70:$J$70),_xlfn.XLOOKUP($H$181,'Cons group &amp; variant assumption'!$A$88:$A$96,'Cons group &amp; variant assumption'!AS$88:AS$96),0)</f>
        <v>0.84</v>
      </c>
    </row>
    <row r="194" spans="1:42" ht="14.45" customHeight="1" outlineLevel="2" x14ac:dyDescent="0.25">
      <c r="A194" s="19" t="s">
        <v>171</v>
      </c>
      <c r="B194" s="5" t="s">
        <v>152</v>
      </c>
      <c r="C194" s="5" t="s">
        <v>144</v>
      </c>
      <c r="D194" s="223" t="s">
        <v>153</v>
      </c>
      <c r="E194" s="223"/>
      <c r="F194" s="223"/>
      <c r="G194" s="223"/>
      <c r="H194" s="223" t="s">
        <v>476</v>
      </c>
      <c r="I194" s="223"/>
      <c r="J194" s="223"/>
      <c r="K194" s="223"/>
      <c r="L194" s="63">
        <f>IF(L$189&lt;=_xlfn.XLOOKUP(Sc1_variant,$D$69:$J$69,$D$70:$J$70),_xlfn.XLOOKUP($H$181,'Cons group &amp; variant assumption'!$A$120:$A$128,'Cons group &amp; variant assumption'!O$120:O$128),0)</f>
        <v>0.5</v>
      </c>
      <c r="M194" s="63">
        <f>IF(M$189&lt;=_xlfn.XLOOKUP(Sc1_variant,$D$69:$J$69,$D$70:$J$70),_xlfn.XLOOKUP($H$181,'Cons group &amp; variant assumption'!$A$120:$A$128,'Cons group &amp; variant assumption'!P$120:P$128),0)</f>
        <v>1</v>
      </c>
      <c r="N194" s="63">
        <f>IF(N$189&lt;=_xlfn.XLOOKUP(Sc1_variant,$D$69:$J$69,$D$70:$J$70),_xlfn.XLOOKUP($H$181,'Cons group &amp; variant assumption'!$A$120:$A$128,'Cons group &amp; variant assumption'!Q$120:Q$128),0)</f>
        <v>1</v>
      </c>
      <c r="O194" s="63">
        <f>IF(O$189&lt;=_xlfn.XLOOKUP(Sc1_variant,$D$69:$J$69,$D$70:$J$70),_xlfn.XLOOKUP($H$181,'Cons group &amp; variant assumption'!$A$120:$A$128,'Cons group &amp; variant assumption'!R$120:R$128),0)</f>
        <v>1</v>
      </c>
      <c r="P194" s="63">
        <f>IF(P$189&lt;=_xlfn.XLOOKUP(Sc1_variant,$D$69:$J$69,$D$70:$J$70),_xlfn.XLOOKUP($H$181,'Cons group &amp; variant assumption'!$A$120:$A$128,'Cons group &amp; variant assumption'!S$120:S$128),0)</f>
        <v>1</v>
      </c>
      <c r="Q194" s="63">
        <f>IF(Q$189&lt;=_xlfn.XLOOKUP(Sc1_variant,$D$69:$J$69,$D$70:$J$70),_xlfn.XLOOKUP($H$181,'Cons group &amp; variant assumption'!$A$120:$A$128,'Cons group &amp; variant assumption'!T$120:T$128),0)</f>
        <v>1</v>
      </c>
      <c r="R194" s="63">
        <f>IF(R$189&lt;=_xlfn.XLOOKUP(Sc1_variant,$D$69:$J$69,$D$70:$J$70),_xlfn.XLOOKUP($H$181,'Cons group &amp; variant assumption'!$A$120:$A$128,'Cons group &amp; variant assumption'!U$120:U$128),0)</f>
        <v>1</v>
      </c>
      <c r="S194" s="63">
        <f>IF(S$189&lt;=_xlfn.XLOOKUP(Sc1_variant,$D$69:$J$69,$D$70:$J$70),_xlfn.XLOOKUP($H$181,'Cons group &amp; variant assumption'!$A$120:$A$128,'Cons group &amp; variant assumption'!V$120:V$128),0)</f>
        <v>1</v>
      </c>
      <c r="T194" s="63">
        <f>IF(T$189&lt;=_xlfn.XLOOKUP(Sc1_variant,$D$69:$J$69,$D$70:$J$70),_xlfn.XLOOKUP($H$181,'Cons group &amp; variant assumption'!$A$120:$A$128,'Cons group &amp; variant assumption'!W$120:W$128),0)</f>
        <v>1</v>
      </c>
      <c r="U194" s="63">
        <f>IF(U$189&lt;=_xlfn.XLOOKUP(Sc1_variant,$D$69:$J$69,$D$70:$J$70),_xlfn.XLOOKUP($H$181,'Cons group &amp; variant assumption'!$A$120:$A$128,'Cons group &amp; variant assumption'!X$120:X$128),0)</f>
        <v>1</v>
      </c>
      <c r="V194" s="63">
        <f>IF(V$189&lt;=_xlfn.XLOOKUP(Sc1_variant,$D$69:$J$69,$D$70:$J$70),_xlfn.XLOOKUP($H$181,'Cons group &amp; variant assumption'!$A$120:$A$128,'Cons group &amp; variant assumption'!Y$120:Y$128),0)</f>
        <v>1</v>
      </c>
      <c r="W194" s="63">
        <f>IF(W$189&lt;=_xlfn.XLOOKUP(Sc1_variant,$D$69:$J$69,$D$70:$J$70),_xlfn.XLOOKUP($H$181,'Cons group &amp; variant assumption'!$A$120:$A$128,'Cons group &amp; variant assumption'!Z$120:Z$128),0)</f>
        <v>1</v>
      </c>
      <c r="X194" s="63">
        <f>IF(X$189&lt;=_xlfn.XLOOKUP(Sc1_variant,$D$69:$J$69,$D$70:$J$70),_xlfn.XLOOKUP($H$181,'Cons group &amp; variant assumption'!$A$120:$A$128,'Cons group &amp; variant assumption'!AA$120:AA$128),0)</f>
        <v>1</v>
      </c>
      <c r="Y194" s="63">
        <f>IF(Y$189&lt;=_xlfn.XLOOKUP(Sc1_variant,$D$69:$J$69,$D$70:$J$70),_xlfn.XLOOKUP($H$181,'Cons group &amp; variant assumption'!$A$120:$A$128,'Cons group &amp; variant assumption'!AB$120:AB$128),0)</f>
        <v>1</v>
      </c>
      <c r="Z194" s="63">
        <f>IF(Z$189&lt;=_xlfn.XLOOKUP(Sc1_variant,$D$69:$J$69,$D$70:$J$70),_xlfn.XLOOKUP($H$181,'Cons group &amp; variant assumption'!$A$120:$A$128,'Cons group &amp; variant assumption'!AC$120:AC$128),0)</f>
        <v>1</v>
      </c>
      <c r="AA194" s="63">
        <f>IF(AA$189&lt;=_xlfn.XLOOKUP(Sc1_variant,$D$69:$J$69,$D$70:$J$70),_xlfn.XLOOKUP($H$181,'Cons group &amp; variant assumption'!$A$120:$A$128,'Cons group &amp; variant assumption'!AD$120:AD$128),0)</f>
        <v>1</v>
      </c>
      <c r="AB194" s="63">
        <f>IF(AB$189&lt;=_xlfn.XLOOKUP(Sc1_variant,$D$69:$J$69,$D$70:$J$70),_xlfn.XLOOKUP($H$181,'Cons group &amp; variant assumption'!$A$120:$A$128,'Cons group &amp; variant assumption'!AE$120:AE$128),0)</f>
        <v>1</v>
      </c>
      <c r="AC194" s="63">
        <f>IF(AC$189&lt;=_xlfn.XLOOKUP(Sc1_variant,$D$69:$J$69,$D$70:$J$70),_xlfn.XLOOKUP($H$181,'Cons group &amp; variant assumption'!$A$120:$A$128,'Cons group &amp; variant assumption'!AF$120:AF$128),0)</f>
        <v>1</v>
      </c>
      <c r="AD194" s="63">
        <f>IF(AD$189&lt;=_xlfn.XLOOKUP(Sc1_variant,$D$69:$J$69,$D$70:$J$70),_xlfn.XLOOKUP($H$181,'Cons group &amp; variant assumption'!$A$120:$A$128,'Cons group &amp; variant assumption'!AG$120:AG$128),0)</f>
        <v>1</v>
      </c>
      <c r="AE194" s="63">
        <f>IF(AE$189&lt;=_xlfn.XLOOKUP(Sc1_variant,$D$69:$J$69,$D$70:$J$70),_xlfn.XLOOKUP($H$181,'Cons group &amp; variant assumption'!$A$120:$A$128,'Cons group &amp; variant assumption'!AH$120:AH$128),0)</f>
        <v>1</v>
      </c>
      <c r="AF194" s="63">
        <f>IF(AF$189&lt;=_xlfn.XLOOKUP(Sc1_variant,$D$69:$J$69,$D$70:$J$70),_xlfn.XLOOKUP($H$181,'Cons group &amp; variant assumption'!$A$120:$A$128,'Cons group &amp; variant assumption'!AI$120:AI$128),0)</f>
        <v>1</v>
      </c>
      <c r="AG194" s="63">
        <f>IF(AG$189&lt;=_xlfn.XLOOKUP(Sc1_variant,$D$69:$J$69,$D$70:$J$70),_xlfn.XLOOKUP($H$181,'Cons group &amp; variant assumption'!$A$120:$A$128,'Cons group &amp; variant assumption'!AJ$120:AJ$128),0)</f>
        <v>1</v>
      </c>
      <c r="AH194" s="63">
        <f>IF(AH$189&lt;=_xlfn.XLOOKUP(Sc1_variant,$D$69:$J$69,$D$70:$J$70),_xlfn.XLOOKUP($H$181,'Cons group &amp; variant assumption'!$A$120:$A$128,'Cons group &amp; variant assumption'!AK$120:AK$128),0)</f>
        <v>1</v>
      </c>
      <c r="AI194" s="63">
        <f>IF(AI$189&lt;=_xlfn.XLOOKUP(Sc1_variant,$D$69:$J$69,$D$70:$J$70),_xlfn.XLOOKUP($H$181,'Cons group &amp; variant assumption'!$A$120:$A$128,'Cons group &amp; variant assumption'!AL$120:AL$128),0)</f>
        <v>1</v>
      </c>
      <c r="AJ194" s="63">
        <f>IF(AJ$189&lt;=_xlfn.XLOOKUP(Sc1_variant,$D$69:$J$69,$D$70:$J$70),_xlfn.XLOOKUP($H$181,'Cons group &amp; variant assumption'!$A$120:$A$128,'Cons group &amp; variant assumption'!AM$120:AM$128),0)</f>
        <v>1</v>
      </c>
      <c r="AK194" s="63">
        <f>IF(AK$189&lt;=_xlfn.XLOOKUP(Sc1_variant,$D$69:$J$69,$D$70:$J$70),_xlfn.XLOOKUP($H$181,'Cons group &amp; variant assumption'!$A$120:$A$128,'Cons group &amp; variant assumption'!AN$120:AN$128),0)</f>
        <v>1</v>
      </c>
      <c r="AL194" s="63">
        <f>IF(AL$189&lt;=_xlfn.XLOOKUP(Sc1_variant,$D$69:$J$69,$D$70:$J$70),_xlfn.XLOOKUP($H$181,'Cons group &amp; variant assumption'!$A$120:$A$128,'Cons group &amp; variant assumption'!AO$120:AO$128),0)</f>
        <v>1</v>
      </c>
      <c r="AM194" s="63">
        <f>IF(AM$189&lt;=_xlfn.XLOOKUP(Sc1_variant,$D$69:$J$69,$D$70:$J$70),_xlfn.XLOOKUP($H$181,'Cons group &amp; variant assumption'!$A$120:$A$128,'Cons group &amp; variant assumption'!AP$120:AP$128),0)</f>
        <v>1</v>
      </c>
      <c r="AN194" s="63">
        <f>IF(AN$189&lt;=_xlfn.XLOOKUP(Sc1_variant,$D$69:$J$69,$D$70:$J$70),_xlfn.XLOOKUP($H$181,'Cons group &amp; variant assumption'!$A$120:$A$128,'Cons group &amp; variant assumption'!AQ$120:AQ$128),0)</f>
        <v>1</v>
      </c>
      <c r="AO194" s="63">
        <f>IF(AO$189&lt;=_xlfn.XLOOKUP(Sc1_variant,$D$69:$J$69,$D$70:$J$70),_xlfn.XLOOKUP($H$181,'Cons group &amp; variant assumption'!$A$120:$A$128,'Cons group &amp; variant assumption'!AR$120:AR$128),0)</f>
        <v>1</v>
      </c>
      <c r="AP194" s="63">
        <f>IF(AP$189&lt;=_xlfn.XLOOKUP(Sc1_variant,$D$69:$J$69,$D$70:$J$70),_xlfn.XLOOKUP($H$181,'Cons group &amp; variant assumption'!$A$120:$A$128,'Cons group &amp; variant assumption'!AS$120:AS$128),0)</f>
        <v>1</v>
      </c>
    </row>
    <row r="195" spans="1:42" ht="15.75" outlineLevel="2" thickBot="1" x14ac:dyDescent="0.3">
      <c r="A195" s="74" t="s">
        <v>172</v>
      </c>
      <c r="B195" s="70" t="s">
        <v>177</v>
      </c>
      <c r="C195" s="16" t="s">
        <v>35</v>
      </c>
      <c r="D195" s="254"/>
      <c r="E195" s="254"/>
      <c r="F195" s="254"/>
      <c r="G195" s="254"/>
      <c r="H195" s="250"/>
      <c r="I195" s="250"/>
      <c r="J195" s="250"/>
      <c r="K195" s="250"/>
      <c r="L195" s="168">
        <f t="shared" ref="L195:AP195" si="29">$D$186*L191*L192*L193*L194</f>
        <v>112.6500461680517</v>
      </c>
      <c r="M195" s="168">
        <f t="shared" si="29"/>
        <v>240.20094905946985</v>
      </c>
      <c r="N195" s="168">
        <f t="shared" si="29"/>
        <v>224.40615362970223</v>
      </c>
      <c r="O195" s="168">
        <f t="shared" si="29"/>
        <v>210.66004110334498</v>
      </c>
      <c r="P195" s="168">
        <f t="shared" si="29"/>
        <v>197.89785701613005</v>
      </c>
      <c r="Q195" s="168">
        <f t="shared" si="29"/>
        <v>187.14628667611328</v>
      </c>
      <c r="R195" s="168">
        <f t="shared" si="29"/>
        <v>173.0950106915428</v>
      </c>
      <c r="S195" s="168">
        <f t="shared" si="29"/>
        <v>165.43535381013359</v>
      </c>
      <c r="T195" s="168">
        <f t="shared" si="29"/>
        <v>158.11464571359417</v>
      </c>
      <c r="U195" s="168">
        <f t="shared" si="29"/>
        <v>151.11788752135541</v>
      </c>
      <c r="V195" s="168">
        <f t="shared" si="29"/>
        <v>144.43074407087391</v>
      </c>
      <c r="W195" s="168">
        <f t="shared" si="29"/>
        <v>138.03951454733246</v>
      </c>
      <c r="X195" s="168">
        <f t="shared" si="29"/>
        <v>131.93110441301008</v>
      </c>
      <c r="Y195" s="168">
        <f t="shared" si="29"/>
        <v>126.09299857881109</v>
      </c>
      <c r="Z195" s="168">
        <f t="shared" si="29"/>
        <v>120.51323576298491</v>
      </c>
      <c r="AA195" s="168">
        <f t="shared" si="29"/>
        <v>115.18038398450246</v>
      </c>
      <c r="AB195" s="168">
        <f t="shared" si="29"/>
        <v>110.08351714087969</v>
      </c>
      <c r="AC195" s="168">
        <f t="shared" si="29"/>
        <v>105.21219262245982</v>
      </c>
      <c r="AD195" s="168">
        <f t="shared" si="29"/>
        <v>100.55642991728931</v>
      </c>
      <c r="AE195" s="168">
        <f t="shared" si="29"/>
        <v>96.106690162753821</v>
      </c>
      <c r="AF195" s="168">
        <f t="shared" si="29"/>
        <v>91.853856602077599</v>
      </c>
      <c r="AG195" s="168">
        <f t="shared" si="29"/>
        <v>87.789215905646188</v>
      </c>
      <c r="AH195" s="168">
        <f t="shared" si="29"/>
        <v>83.904440318881967</v>
      </c>
      <c r="AI195" s="168">
        <f t="shared" si="29"/>
        <v>80.19157060009745</v>
      </c>
      <c r="AJ195" s="168">
        <f t="shared" si="29"/>
        <v>76.642999713368468</v>
      </c>
      <c r="AK195" s="168">
        <f t="shared" si="29"/>
        <v>73.251457243016787</v>
      </c>
      <c r="AL195" s="168">
        <f t="shared" si="29"/>
        <v>70.009994497770023</v>
      </c>
      <c r="AM195" s="168">
        <f t="shared" si="29"/>
        <v>66.911970274080133</v>
      </c>
      <c r="AN195" s="168">
        <f t="shared" si="29"/>
        <v>63.951037249431444</v>
      </c>
      <c r="AO195" s="168">
        <f t="shared" si="29"/>
        <v>61.121128977761103</v>
      </c>
      <c r="AP195" s="168">
        <f t="shared" si="29"/>
        <v>58.416447460347051</v>
      </c>
    </row>
    <row r="196" spans="1:42" ht="15.75" outlineLevel="2" thickTop="1" x14ac:dyDescent="0.25">
      <c r="A196" s="4"/>
    </row>
    <row r="197" spans="1:42" outlineLevel="2" x14ac:dyDescent="0.25">
      <c r="A197" s="4"/>
      <c r="B197" s="6" t="s">
        <v>178</v>
      </c>
      <c r="C197" s="6" t="s">
        <v>61</v>
      </c>
      <c r="D197" s="39" t="str">
        <f>C181</f>
        <v>Variant 1a</v>
      </c>
      <c r="E197" s="225" t="s">
        <v>32</v>
      </c>
      <c r="F197" s="225"/>
      <c r="G197" s="225"/>
      <c r="H197" s="225"/>
      <c r="I197" s="225"/>
      <c r="J197" s="225"/>
      <c r="K197" s="225"/>
      <c r="L197" s="225" t="s">
        <v>33</v>
      </c>
      <c r="M197" s="225"/>
      <c r="N197" s="225"/>
      <c r="O197" s="225"/>
      <c r="P197" s="225"/>
      <c r="Q197" s="225"/>
      <c r="R197" s="225"/>
    </row>
    <row r="198" spans="1:42" outlineLevel="2" x14ac:dyDescent="0.25">
      <c r="A198" s="4"/>
      <c r="B198" s="6" t="s">
        <v>179</v>
      </c>
      <c r="C198" s="6" t="s">
        <v>35</v>
      </c>
      <c r="D198" s="65">
        <f>SUM(L195:AP195)</f>
        <v>3822.9151614328143</v>
      </c>
      <c r="E198" s="251" t="s">
        <v>157</v>
      </c>
      <c r="F198" s="252"/>
      <c r="G198" s="252"/>
      <c r="H198" s="252"/>
      <c r="I198" s="252"/>
      <c r="J198" s="252"/>
      <c r="K198" s="253"/>
      <c r="L198" s="226"/>
      <c r="M198" s="226"/>
      <c r="N198" s="226"/>
      <c r="O198" s="226"/>
      <c r="P198" s="226"/>
      <c r="Q198" s="226"/>
      <c r="R198" s="226"/>
    </row>
    <row r="199" spans="1:42" outlineLevel="1" x14ac:dyDescent="0.25">
      <c r="B199" s="8"/>
      <c r="H199" s="8"/>
    </row>
    <row r="200" spans="1:42" s="73" customFormat="1" ht="18" thickBot="1" x14ac:dyDescent="0.35">
      <c r="A200" s="73" t="s">
        <v>232</v>
      </c>
    </row>
    <row r="201" spans="1:42" ht="15.75" outlineLevel="1" thickTop="1" x14ac:dyDescent="0.25">
      <c r="A201" s="4"/>
    </row>
    <row r="202" spans="1:42" s="9" customFormat="1" ht="15.75" outlineLevel="1" thickBot="1" x14ac:dyDescent="0.3">
      <c r="A202" s="9" t="s">
        <v>180</v>
      </c>
    </row>
    <row r="203" spans="1:42" outlineLevel="2" x14ac:dyDescent="0.25"/>
    <row r="204" spans="1:42" outlineLevel="2" x14ac:dyDescent="0.25">
      <c r="B204" s="8"/>
      <c r="C204" s="6" t="s">
        <v>61</v>
      </c>
      <c r="D204" s="39" t="str">
        <f>"Variant"&amp;" "&amp;$A$17</f>
        <v>Variant 1a</v>
      </c>
      <c r="E204" s="39" t="str">
        <f>"Variant"&amp;" "&amp;$A$18</f>
        <v>Variant 1b</v>
      </c>
      <c r="F204" s="39" t="str">
        <f>"Variant"&amp;" "&amp;$A$19</f>
        <v>Variant 1c</v>
      </c>
      <c r="G204" s="39" t="str">
        <f>"Variant"&amp;" "&amp;$A$20</f>
        <v>Variant 1d</v>
      </c>
      <c r="H204" s="39" t="str">
        <f>"Variant"&amp;" "&amp;$A$21</f>
        <v>Variant 1e</v>
      </c>
      <c r="I204" s="39" t="str">
        <f>"Variant"&amp;" "&amp;$A$22</f>
        <v>Variant 1f</v>
      </c>
      <c r="J204" s="39" t="str">
        <f>"Variant"&amp;" "&amp;$A$23</f>
        <v>Variant 1g</v>
      </c>
      <c r="K204" s="225" t="s">
        <v>32</v>
      </c>
      <c r="L204" s="225"/>
      <c r="M204" s="225"/>
      <c r="N204" s="225"/>
      <c r="O204" s="225" t="s">
        <v>33</v>
      </c>
      <c r="P204" s="225"/>
      <c r="Q204" s="225"/>
      <c r="R204" s="225"/>
    </row>
    <row r="205" spans="1:42" outlineLevel="2" x14ac:dyDescent="0.25">
      <c r="B205" s="2" t="s">
        <v>47</v>
      </c>
      <c r="C205" s="5" t="s">
        <v>35</v>
      </c>
      <c r="D205" s="26">
        <f t="shared" ref="D205:J205" si="30">D84</f>
        <v>1330</v>
      </c>
      <c r="E205" s="26">
        <f t="shared" si="30"/>
        <v>2330</v>
      </c>
      <c r="F205" s="26">
        <f t="shared" si="30"/>
        <v>3652.5</v>
      </c>
      <c r="G205" s="26">
        <f t="shared" si="30"/>
        <v>2722.5</v>
      </c>
      <c r="H205" s="26">
        <f t="shared" si="30"/>
        <v>11476</v>
      </c>
      <c r="I205" s="26">
        <f t="shared" si="30"/>
        <v>11476</v>
      </c>
      <c r="J205" s="26">
        <f t="shared" si="30"/>
        <v>31476</v>
      </c>
      <c r="K205" s="226"/>
      <c r="L205" s="226"/>
      <c r="M205" s="226"/>
      <c r="N205" s="226"/>
      <c r="O205" s="226"/>
      <c r="P205" s="226"/>
      <c r="Q205" s="226"/>
      <c r="R205" s="226"/>
    </row>
    <row r="206" spans="1:42" outlineLevel="2" x14ac:dyDescent="0.25">
      <c r="A206" s="13" t="s">
        <v>38</v>
      </c>
      <c r="B206" s="2" t="s">
        <v>34</v>
      </c>
      <c r="C206" s="5" t="s">
        <v>35</v>
      </c>
      <c r="D206" s="26">
        <f t="shared" ref="D206:J206" si="31">D99</f>
        <v>5782.5</v>
      </c>
      <c r="E206" s="26">
        <f t="shared" si="31"/>
        <v>8105</v>
      </c>
      <c r="F206" s="26">
        <f t="shared" si="31"/>
        <v>8105</v>
      </c>
      <c r="G206" s="26">
        <f t="shared" si="31"/>
        <v>2722.5</v>
      </c>
      <c r="H206" s="26">
        <f t="shared" si="31"/>
        <v>17065</v>
      </c>
      <c r="I206" s="26">
        <f t="shared" si="31"/>
        <v>17065</v>
      </c>
      <c r="J206" s="26">
        <f t="shared" si="31"/>
        <v>37065</v>
      </c>
      <c r="K206" s="226"/>
      <c r="L206" s="226"/>
      <c r="M206" s="226"/>
      <c r="N206" s="226"/>
      <c r="O206" s="226"/>
      <c r="P206" s="226"/>
      <c r="Q206" s="226"/>
      <c r="R206" s="226"/>
    </row>
    <row r="207" spans="1:42" outlineLevel="2" x14ac:dyDescent="0.25">
      <c r="A207" s="13" t="s">
        <v>42</v>
      </c>
      <c r="B207" s="2" t="s">
        <v>159</v>
      </c>
      <c r="C207" s="5" t="s">
        <v>35</v>
      </c>
      <c r="D207" s="154">
        <f t="shared" ref="D207:J207" si="32">D136</f>
        <v>14492.395132254065</v>
      </c>
      <c r="E207" s="154">
        <f t="shared" si="32"/>
        <v>14492.395132254065</v>
      </c>
      <c r="F207" s="154">
        <f t="shared" si="32"/>
        <v>14492.395132254065</v>
      </c>
      <c r="G207" s="154">
        <f t="shared" si="32"/>
        <v>0</v>
      </c>
      <c r="H207" s="154">
        <f t="shared" si="32"/>
        <v>8598.3631373574644</v>
      </c>
      <c r="I207" s="154">
        <f t="shared" si="32"/>
        <v>8598.3631373574644</v>
      </c>
      <c r="J207" s="154">
        <f t="shared" si="32"/>
        <v>8598.3631373574644</v>
      </c>
      <c r="K207" s="226"/>
      <c r="L207" s="226"/>
      <c r="M207" s="226"/>
      <c r="N207" s="226"/>
      <c r="O207" s="226"/>
      <c r="P207" s="226"/>
      <c r="Q207" s="226"/>
      <c r="R207" s="226"/>
    </row>
    <row r="208" spans="1:42" ht="15.75" outlineLevel="2" thickBot="1" x14ac:dyDescent="0.3">
      <c r="A208" s="13" t="s">
        <v>46</v>
      </c>
      <c r="B208" s="17" t="s">
        <v>43</v>
      </c>
      <c r="C208" s="49" t="s">
        <v>35</v>
      </c>
      <c r="D208" s="98">
        <f>D205-D206+D207</f>
        <v>10039.895132254065</v>
      </c>
      <c r="E208" s="98">
        <f t="shared" ref="E208:J208" si="33">E205-E206+E207</f>
        <v>8717.3951322540652</v>
      </c>
      <c r="F208" s="98">
        <f t="shared" si="33"/>
        <v>10039.895132254065</v>
      </c>
      <c r="G208" s="98">
        <f t="shared" si="33"/>
        <v>0</v>
      </c>
      <c r="H208" s="98">
        <f t="shared" si="33"/>
        <v>3009.3631373574644</v>
      </c>
      <c r="I208" s="98">
        <f t="shared" si="33"/>
        <v>3009.3631373574644</v>
      </c>
      <c r="J208" s="98">
        <f t="shared" si="33"/>
        <v>3009.3631373574644</v>
      </c>
      <c r="K208" s="226"/>
      <c r="L208" s="226"/>
      <c r="M208" s="226"/>
      <c r="N208" s="226"/>
      <c r="O208" s="226"/>
      <c r="P208" s="226"/>
      <c r="Q208" s="226"/>
      <c r="R208" s="226"/>
    </row>
    <row r="209" ht="15.75" outlineLevel="2" thickTop="1" x14ac:dyDescent="0.25"/>
    <row r="210" outlineLevel="1" x14ac:dyDescent="0.25"/>
  </sheetData>
  <mergeCells count="205">
    <mergeCell ref="B154:R154"/>
    <mergeCell ref="B179:R179"/>
    <mergeCell ref="K90:P90"/>
    <mergeCell ref="K91:P91"/>
    <mergeCell ref="K92:P92"/>
    <mergeCell ref="K93:P93"/>
    <mergeCell ref="K94:P94"/>
    <mergeCell ref="K95:P95"/>
    <mergeCell ref="K96:P96"/>
    <mergeCell ref="K97:P97"/>
    <mergeCell ref="K98:P98"/>
    <mergeCell ref="K99:P99"/>
    <mergeCell ref="Q91:W91"/>
    <mergeCell ref="Q92:W92"/>
    <mergeCell ref="K121:N121"/>
    <mergeCell ref="O121:R121"/>
    <mergeCell ref="K122:N122"/>
    <mergeCell ref="K123:N123"/>
    <mergeCell ref="O136:R136"/>
    <mergeCell ref="Q99:W99"/>
    <mergeCell ref="K104:N104"/>
    <mergeCell ref="K105:N105"/>
    <mergeCell ref="K107:N107"/>
    <mergeCell ref="K108:N108"/>
    <mergeCell ref="O65:R65"/>
    <mergeCell ref="Q96:W96"/>
    <mergeCell ref="Q97:W97"/>
    <mergeCell ref="Q98:W98"/>
    <mergeCell ref="K69:N69"/>
    <mergeCell ref="K70:N70"/>
    <mergeCell ref="O69:R69"/>
    <mergeCell ref="O70:R70"/>
    <mergeCell ref="D76:G76"/>
    <mergeCell ref="H76:K76"/>
    <mergeCell ref="D77:G77"/>
    <mergeCell ref="H77:K77"/>
    <mergeCell ref="Q90:W90"/>
    <mergeCell ref="E72:K72"/>
    <mergeCell ref="L72:R72"/>
    <mergeCell ref="E73:K73"/>
    <mergeCell ref="L73:R73"/>
    <mergeCell ref="D75:G75"/>
    <mergeCell ref="H75:K75"/>
    <mergeCell ref="O84:R84"/>
    <mergeCell ref="K84:N84"/>
    <mergeCell ref="Q93:W93"/>
    <mergeCell ref="Q94:W94"/>
    <mergeCell ref="Q95:W95"/>
    <mergeCell ref="D195:G195"/>
    <mergeCell ref="H189:K189"/>
    <mergeCell ref="H191:K191"/>
    <mergeCell ref="H193:K193"/>
    <mergeCell ref="B32:G32"/>
    <mergeCell ref="O51:R51"/>
    <mergeCell ref="K115:N115"/>
    <mergeCell ref="K116:N116"/>
    <mergeCell ref="K117:N117"/>
    <mergeCell ref="K118:N118"/>
    <mergeCell ref="K119:N119"/>
    <mergeCell ref="K109:N109"/>
    <mergeCell ref="K110:N110"/>
    <mergeCell ref="K111:N111"/>
    <mergeCell ref="K112:N112"/>
    <mergeCell ref="K114:N114"/>
    <mergeCell ref="O114:R114"/>
    <mergeCell ref="K55:N55"/>
    <mergeCell ref="K56:N56"/>
    <mergeCell ref="K57:N57"/>
    <mergeCell ref="K62:N62"/>
    <mergeCell ref="K63:N63"/>
    <mergeCell ref="K64:N64"/>
    <mergeCell ref="O64:R64"/>
    <mergeCell ref="K135:N135"/>
    <mergeCell ref="K136:N136"/>
    <mergeCell ref="O133:R133"/>
    <mergeCell ref="O134:R134"/>
    <mergeCell ref="O135:R135"/>
    <mergeCell ref="L185:R185"/>
    <mergeCell ref="L186:R186"/>
    <mergeCell ref="E198:K198"/>
    <mergeCell ref="K143:N143"/>
    <mergeCell ref="K145:N145"/>
    <mergeCell ref="K146:N146"/>
    <mergeCell ref="K147:N147"/>
    <mergeCell ref="K142:N142"/>
    <mergeCell ref="E149:K149"/>
    <mergeCell ref="L149:R149"/>
    <mergeCell ref="L161:R161"/>
    <mergeCell ref="E162:K162"/>
    <mergeCell ref="L162:R162"/>
    <mergeCell ref="O142:R142"/>
    <mergeCell ref="O145:R145"/>
    <mergeCell ref="E163:K163"/>
    <mergeCell ref="L163:R163"/>
    <mergeCell ref="E174:K174"/>
    <mergeCell ref="E185:K185"/>
    <mergeCell ref="K204:N204"/>
    <mergeCell ref="O204:R204"/>
    <mergeCell ref="K124:N124"/>
    <mergeCell ref="K125:N125"/>
    <mergeCell ref="K126:N126"/>
    <mergeCell ref="L165:AP165"/>
    <mergeCell ref="L188:AP188"/>
    <mergeCell ref="E160:K160"/>
    <mergeCell ref="L160:R160"/>
    <mergeCell ref="E161:K161"/>
    <mergeCell ref="L174:R174"/>
    <mergeCell ref="E175:K175"/>
    <mergeCell ref="L175:R175"/>
    <mergeCell ref="E197:K197"/>
    <mergeCell ref="L197:R197"/>
    <mergeCell ref="E186:K186"/>
    <mergeCell ref="L198:R198"/>
    <mergeCell ref="K133:N133"/>
    <mergeCell ref="K134:N134"/>
    <mergeCell ref="H195:K195"/>
    <mergeCell ref="H166:K166"/>
    <mergeCell ref="H168:K168"/>
    <mergeCell ref="H170:K170"/>
    <mergeCell ref="H171:K171"/>
    <mergeCell ref="O63:R63"/>
    <mergeCell ref="O46:R46"/>
    <mergeCell ref="O47:R47"/>
    <mergeCell ref="O48:R48"/>
    <mergeCell ref="O50:R50"/>
    <mergeCell ref="K34:N34"/>
    <mergeCell ref="K35:N35"/>
    <mergeCell ref="K36:N36"/>
    <mergeCell ref="K37:N37"/>
    <mergeCell ref="K38:N38"/>
    <mergeCell ref="K40:N40"/>
    <mergeCell ref="K41:N41"/>
    <mergeCell ref="K42:N42"/>
    <mergeCell ref="K43:N43"/>
    <mergeCell ref="K45:N45"/>
    <mergeCell ref="K46:N46"/>
    <mergeCell ref="K47:N47"/>
    <mergeCell ref="K48:N48"/>
    <mergeCell ref="B8:H8"/>
    <mergeCell ref="J8:Q8"/>
    <mergeCell ref="K83:N83"/>
    <mergeCell ref="O83:R83"/>
    <mergeCell ref="B12:Q12"/>
    <mergeCell ref="K58:N58"/>
    <mergeCell ref="O55:R55"/>
    <mergeCell ref="O56:R56"/>
    <mergeCell ref="O57:R57"/>
    <mergeCell ref="O58:R58"/>
    <mergeCell ref="K50:N50"/>
    <mergeCell ref="K51:N51"/>
    <mergeCell ref="O34:R34"/>
    <mergeCell ref="O35:R35"/>
    <mergeCell ref="O36:R36"/>
    <mergeCell ref="O37:R37"/>
    <mergeCell ref="O38:R38"/>
    <mergeCell ref="O40:R40"/>
    <mergeCell ref="O41:R41"/>
    <mergeCell ref="O42:R42"/>
    <mergeCell ref="O43:R43"/>
    <mergeCell ref="O45:R45"/>
    <mergeCell ref="K65:N65"/>
    <mergeCell ref="O62:R62"/>
    <mergeCell ref="O104:R104"/>
    <mergeCell ref="O105:R105"/>
    <mergeCell ref="O107:R107"/>
    <mergeCell ref="O108:R112"/>
    <mergeCell ref="O115:R119"/>
    <mergeCell ref="K208:N208"/>
    <mergeCell ref="O208:R208"/>
    <mergeCell ref="K127:N127"/>
    <mergeCell ref="O122:R122"/>
    <mergeCell ref="O123:R123"/>
    <mergeCell ref="O124:R124"/>
    <mergeCell ref="O125:R125"/>
    <mergeCell ref="O126:R126"/>
    <mergeCell ref="O127:R127"/>
    <mergeCell ref="E150:K150"/>
    <mergeCell ref="L150:R150"/>
    <mergeCell ref="O143:R143"/>
    <mergeCell ref="O146:R147"/>
    <mergeCell ref="K205:N205"/>
    <mergeCell ref="O205:R205"/>
    <mergeCell ref="K206:N206"/>
    <mergeCell ref="O206:R206"/>
    <mergeCell ref="K207:N207"/>
    <mergeCell ref="O207:R207"/>
    <mergeCell ref="D193:G193"/>
    <mergeCell ref="D194:G194"/>
    <mergeCell ref="D172:G172"/>
    <mergeCell ref="D190:G190"/>
    <mergeCell ref="H194:K194"/>
    <mergeCell ref="H172:K172"/>
    <mergeCell ref="D167:G167"/>
    <mergeCell ref="H167:K167"/>
    <mergeCell ref="D166:G166"/>
    <mergeCell ref="D168:G168"/>
    <mergeCell ref="D170:G170"/>
    <mergeCell ref="D171:G171"/>
    <mergeCell ref="H169:K169"/>
    <mergeCell ref="H190:K190"/>
    <mergeCell ref="D192:G192"/>
    <mergeCell ref="H192:K192"/>
    <mergeCell ref="D189:G189"/>
    <mergeCell ref="D191:G191"/>
    <mergeCell ref="D169:G169"/>
  </mergeCells>
  <phoneticPr fontId="9" type="noConversion"/>
  <conditionalFormatting sqref="D51:J52">
    <cfRule type="cellIs" dxfId="17" priority="5" operator="equal">
      <formula>"pass"</formula>
    </cfRule>
    <cfRule type="cellIs" dxfId="16" priority="8" operator="equal">
      <formula>"fail"</formula>
    </cfRule>
  </conditionalFormatting>
  <conditionalFormatting sqref="D54:J54">
    <cfRule type="cellIs" dxfId="15" priority="1" operator="equal">
      <formula>"pass"</formula>
    </cfRule>
    <cfRule type="cellIs" dxfId="14" priority="2" operator="equal">
      <formula>"fail"</formula>
    </cfRule>
  </conditionalFormatting>
  <conditionalFormatting sqref="D61:J61">
    <cfRule type="cellIs" dxfId="13" priority="3" operator="equal">
      <formula>"pass"</formula>
    </cfRule>
    <cfRule type="cellIs" dxfId="12" priority="4" operator="equal">
      <formula>"fail"</formula>
    </cfRule>
  </conditionalFormatting>
  <dataValidations count="1">
    <dataValidation type="list" allowBlank="1" showInputMessage="1" showErrorMessage="1" sqref="C25:C26" xr:uid="{DA67407E-9008-4A02-B20F-6186E053DE1C}">
      <formula1>$D$34:$J$34</formula1>
    </dataValidation>
  </dataValidations>
  <pageMargins left="3.937007874015748E-2" right="3.937007874015748E-2" top="0.74803149606299213" bottom="0.74803149606299213" header="0.31496062992125984" footer="0.31496062992125984"/>
  <pageSetup paperSize="8" scale="46" orientation="landscape" r:id="rId1"/>
  <headerFooter>
    <oddFooter>&amp;C_x000D_&amp;1#&amp;"Calibri"&amp;10&amp;K000000 IN-CONFIDENCE: ORGANISATION</oddFooter>
  </headerFooter>
  <rowBreaks count="2" manualBreakCount="2">
    <brk id="85" max="16383" man="1"/>
    <brk id="128" max="16383" man="1"/>
  </rowBreaks>
  <colBreaks count="1" manualBreakCount="1">
    <brk id="2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DD77BF01-D191-477A-A1BF-F014E59A11F3}">
          <x14:formula1>
            <xm:f>'Network costing zones'!$D$4:$F$4</xm:f>
          </x14:formula1>
          <xm:sqref>C106 D105:J105</xm:sqref>
        </x14:dataValidation>
        <x14:dataValidation type="list" allowBlank="1" showInputMessage="1" showErrorMessage="1" xr:uid="{F4BEA5B9-5886-463D-8226-B73313BDDA3B}">
          <x14:formula1>
            <xm:f>'Cons group &amp; variant assumption'!$C$6:$H$6</xm:f>
          </x14:formula1>
          <xm:sqref>D143:J143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8A33E-BF18-4DD9-BC62-5101B47F5647}">
  <dimension ref="A1:AP221"/>
  <sheetViews>
    <sheetView zoomScale="90" zoomScaleNormal="90" workbookViewId="0">
      <pane ySplit="1" topLeftCell="A178" activePane="bottomLeft" state="frozen"/>
      <selection pane="bottomLeft" activeCell="D209" sqref="D209"/>
    </sheetView>
  </sheetViews>
  <sheetFormatPr defaultColWidth="9.140625" defaultRowHeight="15" outlineLevelRow="3" x14ac:dyDescent="0.25"/>
  <cols>
    <col min="1" max="1" width="10.85546875" style="2" customWidth="1"/>
    <col min="2" max="2" width="42.140625" style="2" customWidth="1"/>
    <col min="3" max="3" width="10.85546875" style="2" customWidth="1"/>
    <col min="4" max="42" width="18.85546875" style="2" customWidth="1"/>
    <col min="43" max="16384" width="9.140625" style="2"/>
  </cols>
  <sheetData>
    <row r="1" spans="1:42" s="1" customFormat="1" ht="20.25" thickBot="1" x14ac:dyDescent="0.35">
      <c r="A1" s="1" t="s">
        <v>181</v>
      </c>
      <c r="H1" s="1" t="s">
        <v>1</v>
      </c>
      <c r="I1" s="201" t="s">
        <v>2</v>
      </c>
      <c r="J1" s="202" t="s">
        <v>3</v>
      </c>
      <c r="K1" s="203" t="s">
        <v>4</v>
      </c>
      <c r="L1" s="204" t="s">
        <v>5</v>
      </c>
      <c r="M1" s="200" t="s">
        <v>303</v>
      </c>
    </row>
    <row r="2" spans="1:42" s="1" customFormat="1" ht="20.100000000000001" customHeight="1" thickTop="1" thickBot="1" x14ac:dyDescent="0.35">
      <c r="A2" s="159" t="s">
        <v>30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1" customFormat="1" ht="14.45" customHeight="1" thickTop="1" thickBot="1" x14ac:dyDescent="0.35">
      <c r="A3" s="159"/>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73" customFormat="1" ht="18.75" thickTop="1" thickBot="1" x14ac:dyDescent="0.35">
      <c r="A4" s="73" t="s">
        <v>6</v>
      </c>
    </row>
    <row r="5" spans="1:42" ht="15.75" outlineLevel="1" thickTop="1" x14ac:dyDescent="0.25"/>
    <row r="6" spans="1:42" outlineLevel="1" x14ac:dyDescent="0.25">
      <c r="B6" s="8" t="s">
        <v>7</v>
      </c>
      <c r="J6" s="8" t="s">
        <v>8</v>
      </c>
      <c r="K6" s="8"/>
      <c r="L6" s="8"/>
      <c r="M6" s="8"/>
    </row>
    <row r="7" spans="1:42" outlineLevel="1" x14ac:dyDescent="0.25"/>
    <row r="8" spans="1:42" ht="35.1" customHeight="1" outlineLevel="1" x14ac:dyDescent="0.25">
      <c r="B8" s="239" t="s">
        <v>182</v>
      </c>
      <c r="C8" s="239"/>
      <c r="D8" s="239"/>
      <c r="E8" s="239"/>
      <c r="F8" s="239"/>
      <c r="G8" s="239"/>
      <c r="H8" s="239"/>
      <c r="J8" s="239" t="s">
        <v>9</v>
      </c>
      <c r="K8" s="239"/>
      <c r="L8" s="239"/>
      <c r="M8" s="239"/>
      <c r="N8" s="239"/>
      <c r="O8" s="239"/>
      <c r="P8" s="239"/>
      <c r="Q8" s="239"/>
      <c r="R8" s="71"/>
      <c r="S8" s="71"/>
    </row>
    <row r="9" spans="1:42" ht="14.45" customHeight="1" outlineLevel="1" x14ac:dyDescent="0.25">
      <c r="B9" s="71"/>
      <c r="C9" s="71"/>
      <c r="D9" s="71"/>
      <c r="E9" s="71"/>
      <c r="F9" s="71"/>
      <c r="G9" s="71"/>
      <c r="H9" s="71"/>
      <c r="J9" s="71"/>
      <c r="K9" s="71"/>
      <c r="L9" s="71"/>
      <c r="M9" s="71"/>
      <c r="N9" s="71"/>
      <c r="O9" s="71"/>
      <c r="P9" s="71"/>
      <c r="Q9" s="71"/>
      <c r="R9" s="71"/>
      <c r="S9" s="71"/>
    </row>
    <row r="10" spans="1:42" ht="14.45" customHeight="1" outlineLevel="1" x14ac:dyDescent="0.25">
      <c r="B10" s="8" t="s">
        <v>10</v>
      </c>
      <c r="C10" s="71"/>
      <c r="D10" s="71"/>
      <c r="E10" s="71"/>
      <c r="F10" s="71"/>
      <c r="G10" s="71"/>
      <c r="H10" s="71"/>
      <c r="J10" s="71"/>
      <c r="K10" s="71"/>
      <c r="L10" s="71"/>
      <c r="M10" s="71"/>
      <c r="N10" s="71"/>
      <c r="O10" s="71"/>
      <c r="P10" s="71"/>
      <c r="Q10" s="71"/>
      <c r="R10" s="71"/>
      <c r="S10" s="71"/>
    </row>
    <row r="11" spans="1:42" ht="14.45" customHeight="1" outlineLevel="1" x14ac:dyDescent="0.25">
      <c r="B11" s="71"/>
      <c r="C11" s="71"/>
      <c r="D11" s="71"/>
      <c r="E11" s="71"/>
      <c r="F11" s="71"/>
      <c r="G11" s="71"/>
      <c r="H11" s="71"/>
      <c r="J11" s="71"/>
      <c r="K11" s="71"/>
      <c r="L11" s="71"/>
      <c r="M11" s="71"/>
      <c r="N11" s="71"/>
      <c r="O11" s="71"/>
      <c r="P11" s="71"/>
      <c r="Q11" s="71"/>
      <c r="R11" s="71"/>
      <c r="S11" s="71"/>
    </row>
    <row r="12" spans="1:42" ht="60" customHeight="1" outlineLevel="1" x14ac:dyDescent="0.25">
      <c r="B12" s="243" t="s">
        <v>183</v>
      </c>
      <c r="C12" s="244"/>
      <c r="D12" s="244"/>
      <c r="E12" s="244"/>
      <c r="F12" s="244"/>
      <c r="G12" s="244"/>
      <c r="H12" s="244"/>
      <c r="I12" s="244"/>
      <c r="J12" s="244"/>
      <c r="K12" s="244"/>
      <c r="L12" s="244"/>
      <c r="M12" s="244"/>
      <c r="N12" s="244"/>
      <c r="O12" s="244"/>
      <c r="P12" s="244"/>
      <c r="Q12" s="245"/>
      <c r="R12" s="71"/>
      <c r="S12" s="71"/>
    </row>
    <row r="13" spans="1:42" outlineLevel="1" x14ac:dyDescent="0.25">
      <c r="B13" s="2" t="s">
        <v>11</v>
      </c>
    </row>
    <row r="14" spans="1:42" s="73" customFormat="1" ht="18" thickBot="1" x14ac:dyDescent="0.35">
      <c r="A14" s="73" t="s">
        <v>12</v>
      </c>
    </row>
    <row r="15" spans="1:42" ht="15.75" outlineLevel="1" thickTop="1" x14ac:dyDescent="0.25"/>
    <row r="16" spans="1:42" outlineLevel="1" x14ac:dyDescent="0.25">
      <c r="B16" s="7" t="s">
        <v>13</v>
      </c>
    </row>
    <row r="17" spans="1:18" outlineLevel="1" x14ac:dyDescent="0.25">
      <c r="A17" s="28" t="s">
        <v>184</v>
      </c>
      <c r="B17" s="2" t="s">
        <v>185</v>
      </c>
    </row>
    <row r="18" spans="1:18" outlineLevel="1" x14ac:dyDescent="0.25">
      <c r="A18" s="28" t="s">
        <v>186</v>
      </c>
      <c r="B18" s="2" t="s">
        <v>187</v>
      </c>
    </row>
    <row r="19" spans="1:18" ht="15.75" outlineLevel="1" thickBot="1" x14ac:dyDescent="0.3">
      <c r="A19" s="28"/>
      <c r="B19" s="29"/>
    </row>
    <row r="20" spans="1:18" ht="21.75" outlineLevel="1" thickBot="1" x14ac:dyDescent="0.4">
      <c r="A20" s="28"/>
      <c r="B20" s="146" t="s">
        <v>28</v>
      </c>
      <c r="C20" s="147" t="s">
        <v>449</v>
      </c>
      <c r="D20" s="148"/>
      <c r="E20" s="29" t="s">
        <v>189</v>
      </c>
      <c r="F20" s="61"/>
    </row>
    <row r="21" spans="1:18" outlineLevel="1" x14ac:dyDescent="0.25">
      <c r="A21" s="28"/>
      <c r="B21" s="29"/>
    </row>
    <row r="22" spans="1:18" outlineLevel="1" x14ac:dyDescent="0.25">
      <c r="C22" s="150" t="str">
        <f>_xlfn.XLOOKUP(C20,$D$154:$E$154,$D$155:$E$155)</f>
        <v>Variant 2a customer</v>
      </c>
    </row>
    <row r="23" spans="1:18" outlineLevel="1" x14ac:dyDescent="0.25">
      <c r="C23" s="150"/>
    </row>
    <row r="24" spans="1:18" s="73" customFormat="1" ht="18" thickBot="1" x14ac:dyDescent="0.35">
      <c r="A24" s="73" t="s">
        <v>29</v>
      </c>
    </row>
    <row r="25" spans="1:18" ht="15.75" outlineLevel="1" thickTop="1" x14ac:dyDescent="0.25"/>
    <row r="26" spans="1:18" outlineLevel="1" x14ac:dyDescent="0.25">
      <c r="B26" s="256" t="s">
        <v>31</v>
      </c>
      <c r="C26" s="256"/>
      <c r="D26" s="256"/>
      <c r="E26" s="256"/>
      <c r="F26" s="256"/>
      <c r="G26" s="256"/>
    </row>
    <row r="27" spans="1:18" outlineLevel="1" x14ac:dyDescent="0.25">
      <c r="B27" s="22"/>
      <c r="C27" s="22"/>
      <c r="D27" s="8"/>
      <c r="E27" s="22"/>
      <c r="F27" s="22"/>
      <c r="H27" s="22"/>
      <c r="I27" s="22"/>
      <c r="J27" s="22"/>
    </row>
    <row r="28" spans="1:18" outlineLevel="1" x14ac:dyDescent="0.25">
      <c r="A28" s="156"/>
      <c r="D28" s="39" t="str">
        <f>"Variant"&amp;" "&amp;$A$17</f>
        <v>Variant 2a</v>
      </c>
      <c r="E28" s="39" t="str">
        <f>"Variant"&amp;" "&amp;$A$18</f>
        <v>Variant 2b</v>
      </c>
      <c r="F28" s="225" t="s">
        <v>32</v>
      </c>
      <c r="G28" s="225"/>
      <c r="H28" s="225"/>
      <c r="I28" s="225"/>
      <c r="J28" s="225"/>
      <c r="K28" s="225"/>
      <c r="L28" s="240" t="s">
        <v>33</v>
      </c>
      <c r="M28" s="241"/>
      <c r="N28" s="241"/>
      <c r="O28" s="241"/>
      <c r="P28" s="241"/>
      <c r="Q28" s="241"/>
      <c r="R28" s="242"/>
    </row>
    <row r="29" spans="1:18" ht="14.45" customHeight="1" outlineLevel="1" x14ac:dyDescent="0.25">
      <c r="A29" s="156"/>
      <c r="B29" s="2" t="s">
        <v>34</v>
      </c>
      <c r="C29" s="5" t="s">
        <v>35</v>
      </c>
      <c r="D29" s="26">
        <f>D91</f>
        <v>196900</v>
      </c>
      <c r="E29" s="26">
        <f>E91</f>
        <v>58310</v>
      </c>
      <c r="F29" s="226" t="s">
        <v>36</v>
      </c>
      <c r="G29" s="226"/>
      <c r="H29" s="226"/>
      <c r="I29" s="226"/>
      <c r="J29" s="226"/>
      <c r="K29" s="226"/>
      <c r="L29" s="226" t="s">
        <v>41</v>
      </c>
      <c r="M29" s="226"/>
      <c r="N29" s="226"/>
      <c r="O29" s="226"/>
      <c r="P29" s="226"/>
      <c r="Q29" s="226"/>
      <c r="R29" s="226"/>
    </row>
    <row r="30" spans="1:18" ht="14.45" customHeight="1" outlineLevel="1" x14ac:dyDescent="0.25">
      <c r="A30" s="156" t="s">
        <v>38</v>
      </c>
      <c r="B30" s="2" t="s">
        <v>39</v>
      </c>
      <c r="C30" s="5" t="s">
        <v>35</v>
      </c>
      <c r="D30" s="26">
        <f>D42</f>
        <v>218194.25136865728</v>
      </c>
      <c r="E30" s="26">
        <f t="shared" ref="E30" si="0">E42</f>
        <v>218194.25136865728</v>
      </c>
      <c r="F30" s="226" t="s">
        <v>40</v>
      </c>
      <c r="G30" s="226"/>
      <c r="H30" s="226"/>
      <c r="I30" s="226"/>
      <c r="J30" s="226"/>
      <c r="K30" s="226"/>
      <c r="L30" s="226" t="s">
        <v>245</v>
      </c>
      <c r="M30" s="226"/>
      <c r="N30" s="226"/>
      <c r="O30" s="226"/>
      <c r="P30" s="226"/>
      <c r="Q30" s="226"/>
      <c r="R30" s="226"/>
    </row>
    <row r="31" spans="1:18" ht="14.45" customHeight="1" outlineLevel="1" x14ac:dyDescent="0.25">
      <c r="A31" s="156" t="s">
        <v>42</v>
      </c>
      <c r="B31" s="2" t="s">
        <v>43</v>
      </c>
      <c r="C31" s="5" t="s">
        <v>35</v>
      </c>
      <c r="D31" s="26">
        <f>D219</f>
        <v>185464.25136865728</v>
      </c>
      <c r="E31" s="26">
        <f>E219</f>
        <v>185464.25136865728</v>
      </c>
      <c r="F31" s="226" t="s">
        <v>44</v>
      </c>
      <c r="G31" s="226"/>
      <c r="H31" s="226"/>
      <c r="I31" s="226"/>
      <c r="J31" s="226"/>
      <c r="K31" s="226"/>
      <c r="L31" s="226" t="s">
        <v>246</v>
      </c>
      <c r="M31" s="226"/>
      <c r="N31" s="226"/>
      <c r="O31" s="226"/>
      <c r="P31" s="226"/>
      <c r="Q31" s="226"/>
      <c r="R31" s="226"/>
    </row>
    <row r="32" spans="1:18" ht="15" customHeight="1" outlineLevel="1" thickBot="1" x14ac:dyDescent="0.3">
      <c r="A32" s="156" t="s">
        <v>46</v>
      </c>
      <c r="B32" s="17" t="s">
        <v>47</v>
      </c>
      <c r="C32" s="16" t="s">
        <v>35</v>
      </c>
      <c r="D32" s="98">
        <f>D29-D30+D31</f>
        <v>164170</v>
      </c>
      <c r="E32" s="98">
        <f t="shared" ref="E32" si="1">E29-E30+E31</f>
        <v>25580</v>
      </c>
      <c r="F32" s="226" t="s">
        <v>48</v>
      </c>
      <c r="G32" s="226"/>
      <c r="H32" s="226"/>
      <c r="I32" s="226"/>
      <c r="J32" s="226"/>
      <c r="K32" s="226"/>
      <c r="L32" s="226" t="s">
        <v>37</v>
      </c>
      <c r="M32" s="226"/>
      <c r="N32" s="226"/>
      <c r="O32" s="226"/>
      <c r="P32" s="226"/>
      <c r="Q32" s="226"/>
      <c r="R32" s="226"/>
    </row>
    <row r="33" spans="1:19" ht="15.75" outlineLevel="1" thickTop="1" x14ac:dyDescent="0.25">
      <c r="A33" s="156"/>
      <c r="B33" s="7"/>
      <c r="D33" s="110"/>
      <c r="E33" s="110"/>
    </row>
    <row r="34" spans="1:19" outlineLevel="1" x14ac:dyDescent="0.25">
      <c r="A34" s="156"/>
      <c r="B34" s="7"/>
      <c r="D34" s="160" t="str">
        <f>"Variant"&amp;" "&amp;$A$17</f>
        <v>Variant 2a</v>
      </c>
      <c r="E34" s="160" t="str">
        <f>"Variant"&amp;" "&amp;$A$18</f>
        <v>Variant 2b</v>
      </c>
      <c r="F34" s="225" t="s">
        <v>32</v>
      </c>
      <c r="G34" s="225"/>
      <c r="H34" s="225"/>
      <c r="I34" s="225"/>
      <c r="J34" s="225"/>
      <c r="K34" s="225"/>
      <c r="L34" s="240" t="s">
        <v>33</v>
      </c>
      <c r="M34" s="241"/>
      <c r="N34" s="241"/>
      <c r="O34" s="241"/>
      <c r="P34" s="241"/>
      <c r="Q34" s="241"/>
      <c r="R34" s="242"/>
    </row>
    <row r="35" spans="1:19" ht="14.45" customHeight="1" outlineLevel="1" x14ac:dyDescent="0.25">
      <c r="A35" s="156" t="s">
        <v>49</v>
      </c>
      <c r="B35" s="2" t="s">
        <v>34</v>
      </c>
      <c r="C35" s="5" t="s">
        <v>35</v>
      </c>
      <c r="D35" s="26">
        <f>D29</f>
        <v>196900</v>
      </c>
      <c r="E35" s="26">
        <f t="shared" ref="E35:E36" si="2">E29</f>
        <v>58310</v>
      </c>
      <c r="F35" s="226" t="s">
        <v>36</v>
      </c>
      <c r="G35" s="226"/>
      <c r="H35" s="226"/>
      <c r="I35" s="226"/>
      <c r="J35" s="226"/>
      <c r="K35" s="226"/>
      <c r="L35" s="226" t="s">
        <v>41</v>
      </c>
      <c r="M35" s="226"/>
      <c r="N35" s="226"/>
      <c r="O35" s="226"/>
      <c r="P35" s="226"/>
      <c r="Q35" s="226"/>
      <c r="R35" s="226"/>
    </row>
    <row r="36" spans="1:19" ht="14.45" customHeight="1" outlineLevel="1" x14ac:dyDescent="0.25">
      <c r="A36" s="156" t="s">
        <v>38</v>
      </c>
      <c r="B36" s="2" t="s">
        <v>39</v>
      </c>
      <c r="C36" s="5" t="s">
        <v>35</v>
      </c>
      <c r="D36" s="26">
        <f>D30</f>
        <v>218194.25136865728</v>
      </c>
      <c r="E36" s="26">
        <f t="shared" si="2"/>
        <v>218194.25136865728</v>
      </c>
      <c r="F36" s="226" t="s">
        <v>40</v>
      </c>
      <c r="G36" s="226"/>
      <c r="H36" s="226"/>
      <c r="I36" s="226"/>
      <c r="J36" s="226"/>
      <c r="K36" s="226"/>
      <c r="L36" s="226" t="s">
        <v>245</v>
      </c>
      <c r="M36" s="226"/>
      <c r="N36" s="226"/>
      <c r="O36" s="226"/>
      <c r="P36" s="226"/>
      <c r="Q36" s="226"/>
      <c r="R36" s="226"/>
    </row>
    <row r="37" spans="1:19" ht="15" customHeight="1" outlineLevel="1" thickBot="1" x14ac:dyDescent="0.3">
      <c r="A37" s="156" t="s">
        <v>46</v>
      </c>
      <c r="B37" s="70" t="s">
        <v>50</v>
      </c>
      <c r="C37" s="16" t="s">
        <v>35</v>
      </c>
      <c r="D37" s="98">
        <f>D35-D36</f>
        <v>-21294.251368657278</v>
      </c>
      <c r="E37" s="98">
        <f t="shared" ref="E37" si="3">E35-E36</f>
        <v>-159884.25136865728</v>
      </c>
      <c r="F37" s="226" t="s">
        <v>51</v>
      </c>
      <c r="G37" s="226"/>
      <c r="H37" s="226"/>
      <c r="I37" s="226"/>
      <c r="J37" s="226"/>
      <c r="K37" s="226"/>
      <c r="L37" s="226"/>
      <c r="M37" s="226"/>
      <c r="N37" s="226"/>
      <c r="O37" s="226"/>
      <c r="P37" s="226"/>
      <c r="Q37" s="226"/>
      <c r="R37" s="226"/>
    </row>
    <row r="38" spans="1:19" ht="15.75" outlineLevel="1" thickTop="1" x14ac:dyDescent="0.25">
      <c r="A38" s="156"/>
      <c r="B38" s="7"/>
      <c r="D38" s="161"/>
      <c r="E38" s="161"/>
      <c r="F38" s="69"/>
      <c r="G38" s="69"/>
      <c r="H38" s="69"/>
      <c r="L38" s="69"/>
      <c r="M38" s="69"/>
      <c r="N38" s="69"/>
    </row>
    <row r="39" spans="1:19" outlineLevel="1" x14ac:dyDescent="0.25">
      <c r="A39" s="156"/>
      <c r="B39" s="7"/>
      <c r="D39" s="160" t="str">
        <f>"Variant"&amp;" "&amp;$A$17</f>
        <v>Variant 2a</v>
      </c>
      <c r="E39" s="160" t="str">
        <f>"Variant"&amp;" "&amp;$A$18</f>
        <v>Variant 2b</v>
      </c>
      <c r="F39" s="225" t="s">
        <v>32</v>
      </c>
      <c r="G39" s="225"/>
      <c r="H39" s="225"/>
      <c r="I39" s="225"/>
      <c r="J39" s="225"/>
      <c r="K39" s="225"/>
      <c r="L39" s="240" t="s">
        <v>33</v>
      </c>
      <c r="M39" s="241"/>
      <c r="N39" s="241"/>
      <c r="O39" s="241"/>
      <c r="P39" s="241"/>
      <c r="Q39" s="241"/>
      <c r="R39" s="242"/>
    </row>
    <row r="40" spans="1:19" ht="14.45" customHeight="1" outlineLevel="1" x14ac:dyDescent="0.25">
      <c r="A40" s="156" t="s">
        <v>49</v>
      </c>
      <c r="B40" s="2" t="s">
        <v>52</v>
      </c>
      <c r="C40" s="5" t="s">
        <v>35</v>
      </c>
      <c r="D40" s="26">
        <f>D146</f>
        <v>144452.62976352105</v>
      </c>
      <c r="E40" s="26">
        <f>E146</f>
        <v>144452.62976352105</v>
      </c>
      <c r="F40" s="226" t="s">
        <v>53</v>
      </c>
      <c r="G40" s="226"/>
      <c r="H40" s="226"/>
      <c r="I40" s="226"/>
      <c r="J40" s="226"/>
      <c r="K40" s="226"/>
      <c r="L40" s="226" t="s">
        <v>245</v>
      </c>
      <c r="M40" s="226"/>
      <c r="N40" s="226"/>
      <c r="O40" s="226"/>
      <c r="P40" s="226"/>
      <c r="Q40" s="226"/>
      <c r="R40" s="226"/>
    </row>
    <row r="41" spans="1:19" ht="14.45" customHeight="1" outlineLevel="1" x14ac:dyDescent="0.25">
      <c r="A41" s="156" t="s">
        <v>42</v>
      </c>
      <c r="B41" s="2" t="s">
        <v>54</v>
      </c>
      <c r="C41" s="14" t="s">
        <v>35</v>
      </c>
      <c r="D41" s="26">
        <f>D147</f>
        <v>73741.621605136213</v>
      </c>
      <c r="E41" s="26">
        <f>E147</f>
        <v>73741.621605136213</v>
      </c>
      <c r="F41" s="226" t="s">
        <v>55</v>
      </c>
      <c r="G41" s="226"/>
      <c r="H41" s="226"/>
      <c r="I41" s="226"/>
      <c r="J41" s="226"/>
      <c r="K41" s="226"/>
      <c r="L41" s="226" t="s">
        <v>245</v>
      </c>
      <c r="M41" s="226"/>
      <c r="N41" s="226"/>
      <c r="O41" s="226"/>
      <c r="P41" s="226"/>
      <c r="Q41" s="226"/>
      <c r="R41" s="226"/>
    </row>
    <row r="42" spans="1:19" ht="15" customHeight="1" outlineLevel="1" thickBot="1" x14ac:dyDescent="0.3">
      <c r="A42" s="156" t="s">
        <v>46</v>
      </c>
      <c r="B42" s="17" t="s">
        <v>39</v>
      </c>
      <c r="C42" s="16" t="s">
        <v>35</v>
      </c>
      <c r="D42" s="98">
        <f>SUM(D40:D41)</f>
        <v>218194.25136865728</v>
      </c>
      <c r="E42" s="98">
        <f t="shared" ref="E42" si="4">SUM(E40:E41)</f>
        <v>218194.25136865728</v>
      </c>
      <c r="F42" s="226" t="s">
        <v>56</v>
      </c>
      <c r="G42" s="226"/>
      <c r="H42" s="226"/>
      <c r="I42" s="226"/>
      <c r="J42" s="226"/>
      <c r="K42" s="226"/>
      <c r="L42" s="226" t="s">
        <v>245</v>
      </c>
      <c r="M42" s="226"/>
      <c r="N42" s="226"/>
      <c r="O42" s="226"/>
      <c r="P42" s="226"/>
      <c r="Q42" s="226"/>
      <c r="R42" s="226"/>
    </row>
    <row r="43" spans="1:19" ht="15.75" outlineLevel="1" thickTop="1" x14ac:dyDescent="0.25">
      <c r="A43" s="13"/>
      <c r="B43" s="7"/>
      <c r="D43" s="37"/>
      <c r="E43" s="37"/>
    </row>
    <row r="44" spans="1:19" outlineLevel="1" x14ac:dyDescent="0.25">
      <c r="A44" s="13"/>
      <c r="B44" s="7"/>
      <c r="D44" s="37"/>
      <c r="E44" s="37"/>
      <c r="F44" s="225" t="s">
        <v>32</v>
      </c>
      <c r="G44" s="225"/>
      <c r="H44" s="225"/>
      <c r="I44" s="225"/>
      <c r="J44" s="225"/>
      <c r="K44" s="225"/>
      <c r="L44" s="240" t="s">
        <v>33</v>
      </c>
      <c r="M44" s="241"/>
      <c r="N44" s="241"/>
      <c r="O44" s="241"/>
      <c r="P44" s="241"/>
      <c r="Q44" s="241"/>
      <c r="R44" s="242"/>
    </row>
    <row r="45" spans="1:19" ht="29.1" customHeight="1" outlineLevel="1" x14ac:dyDescent="0.25">
      <c r="A45" s="13"/>
      <c r="B45" s="7" t="s">
        <v>57</v>
      </c>
      <c r="C45" s="7"/>
      <c r="D45" s="41" t="str">
        <f>IF(D32=D76,"pass","fail")</f>
        <v>pass</v>
      </c>
      <c r="E45" s="41" t="str">
        <f>IF(E32=E76,"pass","fail")</f>
        <v>pass</v>
      </c>
      <c r="F45" s="226" t="s">
        <v>58</v>
      </c>
      <c r="G45" s="226"/>
      <c r="H45" s="226"/>
      <c r="I45" s="226"/>
      <c r="J45" s="226"/>
      <c r="K45" s="226"/>
      <c r="L45" s="226"/>
      <c r="M45" s="226"/>
      <c r="N45" s="226"/>
      <c r="O45" s="226"/>
      <c r="P45" s="226"/>
      <c r="Q45" s="226"/>
      <c r="R45" s="226"/>
    </row>
    <row r="46" spans="1:19" ht="14.45" customHeight="1" outlineLevel="1" x14ac:dyDescent="0.25">
      <c r="A46" s="13"/>
      <c r="B46" s="7"/>
      <c r="C46" s="7"/>
      <c r="D46" s="41"/>
      <c r="E46" s="41"/>
      <c r="F46" s="41"/>
      <c r="G46" s="41"/>
      <c r="H46" s="41"/>
      <c r="I46" s="41"/>
      <c r="J46" s="41"/>
      <c r="K46" s="44"/>
      <c r="L46" s="44"/>
      <c r="M46" s="44"/>
      <c r="Q46" s="44"/>
      <c r="R46" s="44"/>
      <c r="S46" s="44"/>
    </row>
    <row r="47" spans="1:19" s="9" customFormat="1" ht="15.75" outlineLevel="1" thickBot="1" x14ac:dyDescent="0.3">
      <c r="A47" s="9" t="s">
        <v>59</v>
      </c>
    </row>
    <row r="48" spans="1:19" ht="14.45" customHeight="1" outlineLevel="1" x14ac:dyDescent="0.25">
      <c r="A48" s="13"/>
      <c r="B48" s="7"/>
      <c r="C48" s="7"/>
      <c r="D48" s="41"/>
      <c r="E48" s="41"/>
      <c r="F48" s="41"/>
      <c r="G48" s="41"/>
      <c r="H48" s="41"/>
      <c r="I48" s="41"/>
      <c r="J48" s="41"/>
      <c r="K48" s="44"/>
      <c r="L48" s="44"/>
      <c r="M48" s="44"/>
      <c r="Q48" s="44"/>
      <c r="R48" s="44"/>
      <c r="S48" s="44"/>
    </row>
    <row r="49" spans="1:19" ht="14.45" customHeight="1" outlineLevel="1" x14ac:dyDescent="0.25">
      <c r="A49" s="13"/>
      <c r="B49" s="66" t="s">
        <v>60</v>
      </c>
      <c r="C49" s="6" t="s">
        <v>61</v>
      </c>
      <c r="D49" s="39" t="str">
        <f>"Variant"&amp;" "&amp;$A$17</f>
        <v>Variant 2a</v>
      </c>
      <c r="E49" s="39" t="str">
        <f>"Variant"&amp;" "&amp;$A$18</f>
        <v>Variant 2b</v>
      </c>
      <c r="F49" s="225" t="s">
        <v>32</v>
      </c>
      <c r="G49" s="225"/>
      <c r="H49" s="225"/>
      <c r="I49" s="225"/>
      <c r="J49" s="225"/>
      <c r="K49" s="225"/>
      <c r="L49" s="240" t="s">
        <v>33</v>
      </c>
      <c r="M49" s="241"/>
      <c r="N49" s="241"/>
      <c r="O49" s="241"/>
      <c r="P49" s="241"/>
      <c r="Q49" s="241"/>
      <c r="R49" s="242"/>
    </row>
    <row r="50" spans="1:19" ht="14.45" customHeight="1" outlineLevel="1" x14ac:dyDescent="0.25">
      <c r="A50" s="13"/>
      <c r="B50" s="67" t="s">
        <v>47</v>
      </c>
      <c r="C50" s="5" t="s">
        <v>35</v>
      </c>
      <c r="D50" s="26">
        <f>D32</f>
        <v>164170</v>
      </c>
      <c r="E50" s="26">
        <f t="shared" ref="E50" si="5">E32</f>
        <v>25580</v>
      </c>
      <c r="F50" s="226" t="s">
        <v>48</v>
      </c>
      <c r="G50" s="226"/>
      <c r="H50" s="226"/>
      <c r="I50" s="226"/>
      <c r="J50" s="226"/>
      <c r="K50" s="226"/>
      <c r="L50" s="226" t="s">
        <v>37</v>
      </c>
      <c r="M50" s="226"/>
      <c r="N50" s="226"/>
      <c r="O50" s="226"/>
      <c r="P50" s="226"/>
      <c r="Q50" s="226"/>
      <c r="R50" s="226"/>
    </row>
    <row r="51" spans="1:19" ht="14.45" customHeight="1" outlineLevel="1" x14ac:dyDescent="0.25">
      <c r="A51" s="156" t="s">
        <v>42</v>
      </c>
      <c r="B51" s="67" t="s">
        <v>62</v>
      </c>
      <c r="C51" s="14" t="s">
        <v>35</v>
      </c>
      <c r="D51" s="26">
        <f>D30</f>
        <v>218194.25136865728</v>
      </c>
      <c r="E51" s="26">
        <f t="shared" ref="E51" si="6">E30</f>
        <v>218194.25136865728</v>
      </c>
      <c r="F51" s="226" t="s">
        <v>63</v>
      </c>
      <c r="G51" s="226"/>
      <c r="H51" s="226"/>
      <c r="I51" s="226"/>
      <c r="J51" s="226"/>
      <c r="K51" s="226"/>
      <c r="L51" s="226" t="s">
        <v>245</v>
      </c>
      <c r="M51" s="226"/>
      <c r="N51" s="226"/>
      <c r="O51" s="226"/>
      <c r="P51" s="226"/>
      <c r="Q51" s="226"/>
      <c r="R51" s="226"/>
    </row>
    <row r="52" spans="1:19" ht="14.45" customHeight="1" outlineLevel="1" thickBot="1" x14ac:dyDescent="0.3">
      <c r="A52" s="156" t="s">
        <v>46</v>
      </c>
      <c r="B52" s="17" t="s">
        <v>59</v>
      </c>
      <c r="C52" s="16" t="s">
        <v>35</v>
      </c>
      <c r="D52" s="98">
        <f>SUM(D50:D51)</f>
        <v>382364.25136865728</v>
      </c>
      <c r="E52" s="98">
        <f t="shared" ref="E52" si="7">SUM(E50:E51)</f>
        <v>243774.25136865728</v>
      </c>
      <c r="F52" s="226" t="s">
        <v>64</v>
      </c>
      <c r="G52" s="226"/>
      <c r="H52" s="226"/>
      <c r="I52" s="226"/>
      <c r="J52" s="226"/>
      <c r="K52" s="226"/>
      <c r="L52" s="226" t="s">
        <v>65</v>
      </c>
      <c r="M52" s="226"/>
      <c r="N52" s="226"/>
      <c r="O52" s="226"/>
      <c r="P52" s="226"/>
      <c r="Q52" s="226"/>
      <c r="R52" s="226"/>
    </row>
    <row r="53" spans="1:19" ht="14.45" customHeight="1" outlineLevel="1" thickTop="1" x14ac:dyDescent="0.25">
      <c r="A53" s="13"/>
      <c r="D53" s="72"/>
      <c r="E53" s="72"/>
      <c r="F53" s="44"/>
      <c r="G53" s="44"/>
      <c r="H53" s="44"/>
      <c r="L53" s="44"/>
      <c r="M53" s="44"/>
      <c r="S53" s="44"/>
    </row>
    <row r="54" spans="1:19" s="9" customFormat="1" ht="15.75" outlineLevel="1" thickBot="1" x14ac:dyDescent="0.3">
      <c r="A54" s="9" t="s">
        <v>66</v>
      </c>
    </row>
    <row r="55" spans="1:19" ht="14.45" customHeight="1" outlineLevel="1" x14ac:dyDescent="0.25">
      <c r="A55" s="13"/>
      <c r="B55" s="7"/>
      <c r="C55" s="7"/>
      <c r="D55" s="41"/>
      <c r="E55" s="41"/>
      <c r="F55" s="44"/>
      <c r="G55" s="44"/>
      <c r="H55" s="44"/>
      <c r="L55" s="44"/>
      <c r="M55" s="44"/>
      <c r="S55" s="44"/>
    </row>
    <row r="56" spans="1:19" ht="14.45" customHeight="1" outlineLevel="1" x14ac:dyDescent="0.25">
      <c r="A56" s="13"/>
      <c r="B56" s="66" t="s">
        <v>67</v>
      </c>
      <c r="C56" s="6" t="s">
        <v>61</v>
      </c>
      <c r="D56" s="39" t="str">
        <f>"Variant"&amp;" "&amp;$A$17</f>
        <v>Variant 2a</v>
      </c>
      <c r="E56" s="39" t="str">
        <f>"Variant"&amp;" "&amp;$A$18</f>
        <v>Variant 2b</v>
      </c>
      <c r="F56" s="225" t="s">
        <v>32</v>
      </c>
      <c r="G56" s="225"/>
      <c r="H56" s="225"/>
      <c r="I56" s="225"/>
      <c r="J56" s="225"/>
      <c r="K56" s="225"/>
      <c r="L56" s="240" t="s">
        <v>33</v>
      </c>
      <c r="M56" s="241"/>
      <c r="N56" s="241"/>
      <c r="O56" s="241"/>
      <c r="P56" s="241"/>
      <c r="Q56" s="241"/>
      <c r="R56" s="242"/>
    </row>
    <row r="57" spans="1:19" ht="14.45" customHeight="1" outlineLevel="1" x14ac:dyDescent="0.25">
      <c r="A57" s="13"/>
      <c r="B57" s="67" t="s">
        <v>68</v>
      </c>
      <c r="C57" s="5" t="s">
        <v>69</v>
      </c>
      <c r="D57" s="68">
        <f t="shared" ref="D57:E57" si="8">D32/D29</f>
        <v>0.83377348908075166</v>
      </c>
      <c r="E57" s="68">
        <f t="shared" si="8"/>
        <v>0.4386897616189333</v>
      </c>
      <c r="F57" s="226" t="s">
        <v>70</v>
      </c>
      <c r="G57" s="226"/>
      <c r="H57" s="226"/>
      <c r="I57" s="226"/>
      <c r="J57" s="226"/>
      <c r="K57" s="226"/>
      <c r="L57" s="226"/>
      <c r="M57" s="226"/>
      <c r="N57" s="226"/>
      <c r="O57" s="226"/>
      <c r="P57" s="226"/>
      <c r="Q57" s="226"/>
      <c r="R57" s="226"/>
    </row>
    <row r="58" spans="1:19" ht="14.45" customHeight="1" outlineLevel="1" x14ac:dyDescent="0.25">
      <c r="A58" s="13"/>
      <c r="B58" s="67" t="s">
        <v>71</v>
      </c>
      <c r="C58" s="5" t="s">
        <v>69</v>
      </c>
      <c r="D58" s="68">
        <f t="shared" ref="D58:E58" si="9">D32/(D32+D30)</f>
        <v>0.42935499177122383</v>
      </c>
      <c r="E58" s="68">
        <f t="shared" si="9"/>
        <v>0.10493314965129615</v>
      </c>
      <c r="F58" s="226" t="s">
        <v>72</v>
      </c>
      <c r="G58" s="226"/>
      <c r="H58" s="226"/>
      <c r="I58" s="226"/>
      <c r="J58" s="226"/>
      <c r="K58" s="226"/>
      <c r="L58" s="226"/>
      <c r="M58" s="226"/>
      <c r="N58" s="226"/>
      <c r="O58" s="226"/>
      <c r="P58" s="226"/>
      <c r="Q58" s="226"/>
      <c r="R58" s="226"/>
    </row>
    <row r="59" spans="1:19" ht="14.45" customHeight="1" outlineLevel="1" x14ac:dyDescent="0.25">
      <c r="A59" s="13"/>
      <c r="B59" s="67" t="s">
        <v>73</v>
      </c>
      <c r="C59" s="5" t="s">
        <v>69</v>
      </c>
      <c r="D59" s="68">
        <f t="shared" ref="D59:E59" si="10">D31/(D30+D32)</f>
        <v>0.4850460018288727</v>
      </c>
      <c r="E59" s="68">
        <f t="shared" si="10"/>
        <v>0.76080328552904308</v>
      </c>
      <c r="F59" s="226" t="s">
        <v>74</v>
      </c>
      <c r="G59" s="226"/>
      <c r="H59" s="226"/>
      <c r="I59" s="226"/>
      <c r="J59" s="226"/>
      <c r="K59" s="226"/>
      <c r="L59" s="226"/>
      <c r="M59" s="226"/>
      <c r="N59" s="226"/>
      <c r="O59" s="226"/>
      <c r="P59" s="226"/>
      <c r="Q59" s="226"/>
      <c r="R59" s="226"/>
    </row>
    <row r="60" spans="1:19" ht="14.45" customHeight="1" outlineLevel="1" x14ac:dyDescent="0.25">
      <c r="A60" s="13"/>
      <c r="D60" s="167"/>
      <c r="E60" s="167"/>
      <c r="F60" s="167"/>
      <c r="G60" s="167"/>
      <c r="H60" s="167"/>
      <c r="I60" s="167"/>
      <c r="J60" s="167"/>
      <c r="K60" s="44"/>
      <c r="L60" s="44"/>
      <c r="M60" s="44"/>
      <c r="N60" s="44"/>
      <c r="O60" s="44"/>
      <c r="P60" s="44"/>
      <c r="Q60" s="44"/>
      <c r="R60" s="44"/>
    </row>
    <row r="61" spans="1:19" s="73" customFormat="1" ht="18" thickBot="1" x14ac:dyDescent="0.35">
      <c r="A61" s="73" t="s">
        <v>190</v>
      </c>
    </row>
    <row r="62" spans="1:19" ht="15.75" thickTop="1" x14ac:dyDescent="0.25"/>
    <row r="63" spans="1:19" outlineLevel="1" x14ac:dyDescent="0.25">
      <c r="B63" s="6" t="s">
        <v>129</v>
      </c>
      <c r="C63" s="6" t="s">
        <v>61</v>
      </c>
      <c r="D63" s="39" t="str">
        <f>"Variant"&amp;" "&amp;$A$17</f>
        <v>Variant 2a</v>
      </c>
      <c r="E63" s="39" t="str">
        <f>"Variant"&amp;" "&amp;$A$18</f>
        <v>Variant 2b</v>
      </c>
      <c r="F63" s="225" t="s">
        <v>32</v>
      </c>
      <c r="G63" s="225"/>
      <c r="H63" s="225"/>
      <c r="I63" s="225"/>
      <c r="J63" s="225"/>
      <c r="K63" s="225"/>
      <c r="L63" s="240" t="s">
        <v>33</v>
      </c>
      <c r="M63" s="241"/>
      <c r="N63" s="241"/>
      <c r="O63" s="241"/>
      <c r="P63" s="241"/>
      <c r="Q63" s="241"/>
      <c r="R63" s="242"/>
    </row>
    <row r="64" spans="1:19" ht="28.9" customHeight="1" outlineLevel="1" x14ac:dyDescent="0.25">
      <c r="B64" s="42" t="s">
        <v>129</v>
      </c>
      <c r="C64" s="5" t="s">
        <v>130</v>
      </c>
      <c r="D64" s="10">
        <v>15</v>
      </c>
      <c r="E64" s="10">
        <v>15</v>
      </c>
      <c r="F64" s="226" t="s">
        <v>131</v>
      </c>
      <c r="G64" s="226"/>
      <c r="H64" s="226"/>
      <c r="I64" s="226"/>
      <c r="J64" s="226"/>
      <c r="K64" s="226"/>
      <c r="L64" s="226" t="s">
        <v>450</v>
      </c>
      <c r="M64" s="226"/>
      <c r="N64" s="226"/>
      <c r="O64" s="226"/>
      <c r="P64" s="226"/>
      <c r="Q64" s="226"/>
      <c r="R64" s="226"/>
    </row>
    <row r="65" spans="1:42" outlineLevel="1" x14ac:dyDescent="0.25"/>
    <row r="66" spans="1:42" outlineLevel="1" x14ac:dyDescent="0.25">
      <c r="B66" s="6" t="s">
        <v>143</v>
      </c>
      <c r="C66" s="6" t="s">
        <v>61</v>
      </c>
      <c r="D66" s="39" t="s">
        <v>133</v>
      </c>
      <c r="E66" s="240" t="s">
        <v>32</v>
      </c>
      <c r="F66" s="241"/>
      <c r="G66" s="241"/>
      <c r="H66" s="241"/>
      <c r="I66" s="241"/>
      <c r="J66" s="241"/>
      <c r="K66" s="242"/>
      <c r="L66" s="240" t="s">
        <v>33</v>
      </c>
      <c r="M66" s="241"/>
      <c r="N66" s="241"/>
      <c r="O66" s="241"/>
      <c r="P66" s="241"/>
      <c r="Q66" s="241"/>
      <c r="R66" s="242"/>
    </row>
    <row r="67" spans="1:42" ht="43.35" customHeight="1" outlineLevel="1" x14ac:dyDescent="0.25">
      <c r="B67" s="42" t="s">
        <v>134</v>
      </c>
      <c r="C67" s="5" t="s">
        <v>69</v>
      </c>
      <c r="D67" s="55">
        <f>'Distributor assumptions'!$C$7</f>
        <v>4.6299999999999994E-2</v>
      </c>
      <c r="E67" s="236" t="s">
        <v>191</v>
      </c>
      <c r="F67" s="237"/>
      <c r="G67" s="237"/>
      <c r="H67" s="237"/>
      <c r="I67" s="237"/>
      <c r="J67" s="237"/>
      <c r="K67" s="238"/>
      <c r="L67" s="236" t="s">
        <v>451</v>
      </c>
      <c r="M67" s="237"/>
      <c r="N67" s="237"/>
      <c r="O67" s="237"/>
      <c r="P67" s="237"/>
      <c r="Q67" s="237"/>
      <c r="R67" s="238"/>
    </row>
    <row r="68" spans="1:42" outlineLevel="1" x14ac:dyDescent="0.25">
      <c r="A68" s="13"/>
      <c r="B68" s="7"/>
      <c r="D68" s="37"/>
      <c r="E68" s="37"/>
      <c r="F68" s="37"/>
      <c r="G68" s="37"/>
      <c r="H68" s="37"/>
      <c r="I68" s="37"/>
      <c r="J68" s="37"/>
    </row>
    <row r="69" spans="1:42" outlineLevel="1" x14ac:dyDescent="0.25">
      <c r="B69" s="6" t="s">
        <v>76</v>
      </c>
      <c r="C69" s="6" t="s">
        <v>61</v>
      </c>
      <c r="D69" s="225" t="s">
        <v>32</v>
      </c>
      <c r="E69" s="225"/>
      <c r="F69" s="225"/>
      <c r="G69" s="225"/>
      <c r="H69" s="225" t="s">
        <v>33</v>
      </c>
      <c r="I69" s="225"/>
      <c r="J69" s="225"/>
      <c r="K69" s="225"/>
      <c r="L69" s="6">
        <v>0</v>
      </c>
      <c r="M69" s="6">
        <v>1</v>
      </c>
      <c r="N69" s="6">
        <v>2</v>
      </c>
      <c r="O69" s="6">
        <v>3</v>
      </c>
      <c r="P69" s="6">
        <v>4</v>
      </c>
      <c r="Q69" s="6">
        <v>5</v>
      </c>
      <c r="R69" s="6">
        <v>6</v>
      </c>
      <c r="S69" s="6">
        <v>7</v>
      </c>
      <c r="T69" s="6">
        <v>8</v>
      </c>
      <c r="U69" s="6">
        <v>9</v>
      </c>
      <c r="V69" s="6">
        <v>10</v>
      </c>
      <c r="W69" s="6">
        <v>11</v>
      </c>
      <c r="X69" s="6">
        <v>12</v>
      </c>
      <c r="Y69" s="6">
        <v>13</v>
      </c>
      <c r="Z69" s="6">
        <v>14</v>
      </c>
      <c r="AA69" s="6">
        <v>15</v>
      </c>
      <c r="AB69" s="6">
        <v>16</v>
      </c>
      <c r="AC69" s="6">
        <v>17</v>
      </c>
      <c r="AD69" s="6">
        <v>18</v>
      </c>
      <c r="AE69" s="6">
        <v>19</v>
      </c>
      <c r="AF69" s="6">
        <v>20</v>
      </c>
      <c r="AG69" s="6">
        <v>21</v>
      </c>
      <c r="AH69" s="6">
        <v>22</v>
      </c>
      <c r="AI69" s="6">
        <v>23</v>
      </c>
      <c r="AJ69" s="6">
        <v>24</v>
      </c>
      <c r="AK69" s="6">
        <v>25</v>
      </c>
      <c r="AL69" s="6">
        <v>26</v>
      </c>
      <c r="AM69" s="6">
        <v>27</v>
      </c>
      <c r="AN69" s="6">
        <v>28</v>
      </c>
      <c r="AO69" s="6">
        <v>29</v>
      </c>
      <c r="AP69" s="6">
        <v>30</v>
      </c>
    </row>
    <row r="70" spans="1:42" outlineLevel="1" x14ac:dyDescent="0.25">
      <c r="B70" s="5" t="s">
        <v>140</v>
      </c>
      <c r="C70" s="5" t="s">
        <v>141</v>
      </c>
      <c r="D70" s="223" t="s">
        <v>193</v>
      </c>
      <c r="E70" s="223"/>
      <c r="F70" s="223"/>
      <c r="G70" s="223"/>
      <c r="H70" s="223"/>
      <c r="I70" s="223"/>
      <c r="J70" s="223"/>
      <c r="K70" s="223"/>
      <c r="L70" s="76">
        <v>2026</v>
      </c>
      <c r="M70" s="76">
        <f>L70+1</f>
        <v>2027</v>
      </c>
      <c r="N70" s="76">
        <f t="shared" ref="N70:AP70" si="11">M70+1</f>
        <v>2028</v>
      </c>
      <c r="O70" s="76">
        <f t="shared" si="11"/>
        <v>2029</v>
      </c>
      <c r="P70" s="76">
        <f t="shared" si="11"/>
        <v>2030</v>
      </c>
      <c r="Q70" s="76">
        <f t="shared" si="11"/>
        <v>2031</v>
      </c>
      <c r="R70" s="76">
        <f t="shared" si="11"/>
        <v>2032</v>
      </c>
      <c r="S70" s="76">
        <f t="shared" si="11"/>
        <v>2033</v>
      </c>
      <c r="T70" s="76">
        <f t="shared" si="11"/>
        <v>2034</v>
      </c>
      <c r="U70" s="76">
        <f t="shared" si="11"/>
        <v>2035</v>
      </c>
      <c r="V70" s="76">
        <f t="shared" si="11"/>
        <v>2036</v>
      </c>
      <c r="W70" s="76">
        <f t="shared" si="11"/>
        <v>2037</v>
      </c>
      <c r="X70" s="76">
        <f t="shared" si="11"/>
        <v>2038</v>
      </c>
      <c r="Y70" s="76">
        <f t="shared" si="11"/>
        <v>2039</v>
      </c>
      <c r="Z70" s="76">
        <f t="shared" si="11"/>
        <v>2040</v>
      </c>
      <c r="AA70" s="76">
        <f t="shared" si="11"/>
        <v>2041</v>
      </c>
      <c r="AB70" s="76">
        <f t="shared" si="11"/>
        <v>2042</v>
      </c>
      <c r="AC70" s="76">
        <f t="shared" si="11"/>
        <v>2043</v>
      </c>
      <c r="AD70" s="76">
        <f t="shared" si="11"/>
        <v>2044</v>
      </c>
      <c r="AE70" s="76">
        <f t="shared" si="11"/>
        <v>2045</v>
      </c>
      <c r="AF70" s="76">
        <f t="shared" si="11"/>
        <v>2046</v>
      </c>
      <c r="AG70" s="76">
        <f t="shared" si="11"/>
        <v>2047</v>
      </c>
      <c r="AH70" s="76">
        <f t="shared" si="11"/>
        <v>2048</v>
      </c>
      <c r="AI70" s="76">
        <f t="shared" si="11"/>
        <v>2049</v>
      </c>
      <c r="AJ70" s="76">
        <f t="shared" si="11"/>
        <v>2050</v>
      </c>
      <c r="AK70" s="76">
        <f t="shared" si="11"/>
        <v>2051</v>
      </c>
      <c r="AL70" s="76">
        <f t="shared" si="11"/>
        <v>2052</v>
      </c>
      <c r="AM70" s="76">
        <f t="shared" si="11"/>
        <v>2053</v>
      </c>
      <c r="AN70" s="76">
        <f t="shared" si="11"/>
        <v>2054</v>
      </c>
      <c r="AO70" s="76">
        <f t="shared" si="11"/>
        <v>2055</v>
      </c>
      <c r="AP70" s="76">
        <f t="shared" si="11"/>
        <v>2056</v>
      </c>
    </row>
    <row r="71" spans="1:42" ht="28.5" customHeight="1" outlineLevel="1" x14ac:dyDescent="0.25">
      <c r="B71" s="5" t="s">
        <v>143</v>
      </c>
      <c r="C71" s="5" t="s">
        <v>144</v>
      </c>
      <c r="D71" s="223" t="s">
        <v>145</v>
      </c>
      <c r="E71" s="223"/>
      <c r="F71" s="223"/>
      <c r="G71" s="223"/>
      <c r="H71" s="223" t="s">
        <v>194</v>
      </c>
      <c r="I71" s="223"/>
      <c r="J71" s="223"/>
      <c r="K71" s="223"/>
      <c r="L71" s="62">
        <f>1</f>
        <v>1</v>
      </c>
      <c r="M71" s="20">
        <f>1/(1+$D$67)^M69</f>
        <v>0.95574882920768423</v>
      </c>
      <c r="N71" s="20">
        <f t="shared" ref="N71:AP71" si="12">1/(1+$D$67)^N69</f>
        <v>0.91345582453185914</v>
      </c>
      <c r="O71" s="20">
        <f t="shared" si="12"/>
        <v>0.87303433482926418</v>
      </c>
      <c r="P71" s="20">
        <f t="shared" si="12"/>
        <v>0.83440154337117856</v>
      </c>
      <c r="Q71" s="20">
        <f t="shared" si="12"/>
        <v>0.79747829816608862</v>
      </c>
      <c r="R71" s="20">
        <f t="shared" si="12"/>
        <v>0.76218894979077567</v>
      </c>
      <c r="S71" s="20">
        <f t="shared" si="12"/>
        <v>0.72846119639756823</v>
      </c>
      <c r="T71" s="20">
        <f t="shared" si="12"/>
        <v>0.69622593558020462</v>
      </c>
      <c r="U71" s="20">
        <f t="shared" si="12"/>
        <v>0.66541712279480525</v>
      </c>
      <c r="V71" s="20">
        <f t="shared" si="12"/>
        <v>0.63597163604588081</v>
      </c>
      <c r="W71" s="20">
        <f t="shared" si="12"/>
        <v>0.60782914656014608</v>
      </c>
      <c r="X71" s="20">
        <f t="shared" si="12"/>
        <v>0.58093199518316552</v>
      </c>
      <c r="Y71" s="20">
        <f t="shared" si="12"/>
        <v>0.55522507424559442</v>
      </c>
      <c r="Z71" s="20">
        <f t="shared" si="12"/>
        <v>0.53065571465697647</v>
      </c>
      <c r="AA71" s="20">
        <f t="shared" si="12"/>
        <v>0.50717357799577223</v>
      </c>
      <c r="AB71" s="20">
        <f t="shared" si="12"/>
        <v>0.48473055337453136</v>
      </c>
      <c r="AC71" s="20">
        <f t="shared" si="12"/>
        <v>0.46328065886890124</v>
      </c>
      <c r="AD71" s="20">
        <f t="shared" si="12"/>
        <v>0.44277994730851689</v>
      </c>
      <c r="AE71" s="20">
        <f t="shared" si="12"/>
        <v>0.42318641623675513</v>
      </c>
      <c r="AF71" s="20">
        <f t="shared" si="12"/>
        <v>0.40445992185487434</v>
      </c>
      <c r="AG71" s="20">
        <f t="shared" si="12"/>
        <v>0.38656209677422765</v>
      </c>
      <c r="AH71" s="20">
        <f t="shared" si="12"/>
        <v>0.36945627140803561</v>
      </c>
      <c r="AI71" s="20">
        <f t="shared" si="12"/>
        <v>0.35310739884166642</v>
      </c>
      <c r="AJ71" s="20">
        <f t="shared" si="12"/>
        <v>0.33748198302749344</v>
      </c>
      <c r="AK71" s="20">
        <f t="shared" si="12"/>
        <v>0.3225480101572144</v>
      </c>
      <c r="AL71" s="20">
        <f t="shared" si="12"/>
        <v>0.30827488307102585</v>
      </c>
      <c r="AM71" s="20">
        <f t="shared" si="12"/>
        <v>0.29463335856926876</v>
      </c>
      <c r="AN71" s="20">
        <f t="shared" si="12"/>
        <v>0.28159548749810637</v>
      </c>
      <c r="AO71" s="20">
        <f t="shared" si="12"/>
        <v>0.26913455748648224</v>
      </c>
      <c r="AP71" s="20">
        <f t="shared" si="12"/>
        <v>0.25722503821703363</v>
      </c>
    </row>
    <row r="72" spans="1:42" outlineLevel="1" x14ac:dyDescent="0.25">
      <c r="A72" s="13"/>
      <c r="B72" s="7"/>
      <c r="D72" s="37"/>
      <c r="E72" s="37"/>
      <c r="F72" s="37"/>
      <c r="G72" s="37"/>
      <c r="H72" s="37"/>
      <c r="I72" s="37"/>
      <c r="J72" s="37"/>
    </row>
    <row r="73" spans="1:42" s="73" customFormat="1" ht="18" thickBot="1" x14ac:dyDescent="0.35">
      <c r="A73" s="73" t="s">
        <v>195</v>
      </c>
    </row>
    <row r="74" spans="1:42" ht="15.75" outlineLevel="1" thickTop="1" x14ac:dyDescent="0.25"/>
    <row r="75" spans="1:42" outlineLevel="1" x14ac:dyDescent="0.25">
      <c r="B75" s="6" t="s">
        <v>76</v>
      </c>
      <c r="C75" s="6" t="s">
        <v>61</v>
      </c>
      <c r="D75" s="39" t="str">
        <f>"Variant"&amp;" "&amp;$A$17</f>
        <v>Variant 2a</v>
      </c>
      <c r="E75" s="39" t="str">
        <f>"Variant"&amp;" "&amp;$A$18</f>
        <v>Variant 2b</v>
      </c>
      <c r="F75" s="225" t="s">
        <v>32</v>
      </c>
      <c r="G75" s="225"/>
      <c r="H75" s="225"/>
      <c r="I75" s="225"/>
      <c r="J75" s="225"/>
      <c r="K75" s="225"/>
      <c r="L75" s="225" t="s">
        <v>33</v>
      </c>
      <c r="M75" s="225"/>
      <c r="N75" s="225"/>
      <c r="O75" s="225"/>
      <c r="P75" s="225"/>
      <c r="Q75" s="225"/>
      <c r="R75" s="225"/>
    </row>
    <row r="76" spans="1:42" ht="14.45" customHeight="1" outlineLevel="1" x14ac:dyDescent="0.25">
      <c r="B76" s="5" t="s">
        <v>47</v>
      </c>
      <c r="C76" s="5" t="s">
        <v>35</v>
      </c>
      <c r="D76" s="10">
        <v>164170</v>
      </c>
      <c r="E76" s="10">
        <v>25580</v>
      </c>
      <c r="F76" s="226" t="s">
        <v>77</v>
      </c>
      <c r="G76" s="226"/>
      <c r="H76" s="226"/>
      <c r="I76" s="226"/>
      <c r="J76" s="226"/>
      <c r="K76" s="226"/>
      <c r="L76" s="226" t="s">
        <v>78</v>
      </c>
      <c r="M76" s="226"/>
      <c r="N76" s="226"/>
      <c r="O76" s="226"/>
      <c r="P76" s="226"/>
      <c r="Q76" s="226"/>
      <c r="R76" s="226"/>
    </row>
    <row r="77" spans="1:42" ht="14.45" customHeight="1" outlineLevel="1" x14ac:dyDescent="0.25">
      <c r="D77" s="23"/>
      <c r="E77" s="23"/>
      <c r="F77" s="23"/>
      <c r="G77" s="23"/>
      <c r="H77" s="23"/>
      <c r="I77" s="23"/>
      <c r="J77" s="23"/>
      <c r="K77" s="44"/>
      <c r="L77" s="44"/>
      <c r="M77" s="44"/>
      <c r="N77" s="44"/>
      <c r="O77" s="44"/>
      <c r="P77" s="44"/>
      <c r="Q77" s="44"/>
      <c r="R77" s="44"/>
    </row>
    <row r="78" spans="1:42" s="73" customFormat="1" ht="18" thickBot="1" x14ac:dyDescent="0.35">
      <c r="A78" s="73" t="s">
        <v>196</v>
      </c>
    </row>
    <row r="79" spans="1:42" ht="15.75" outlineLevel="1" thickTop="1" x14ac:dyDescent="0.25">
      <c r="B79" s="8"/>
    </row>
    <row r="80" spans="1:42" s="9" customFormat="1" ht="15.75" outlineLevel="1" thickBot="1" x14ac:dyDescent="0.3">
      <c r="A80" s="9" t="s">
        <v>197</v>
      </c>
    </row>
    <row r="81" spans="1:18" outlineLevel="1" x14ac:dyDescent="0.25">
      <c r="B81" s="8"/>
    </row>
    <row r="82" spans="1:18" ht="14.45" customHeight="1" outlineLevel="2" x14ac:dyDescent="0.25">
      <c r="B82" s="5"/>
      <c r="C82" s="6" t="s">
        <v>61</v>
      </c>
      <c r="D82" s="39" t="str">
        <f>"Variant"&amp;" "&amp;$A$17</f>
        <v>Variant 2a</v>
      </c>
      <c r="E82" s="39" t="str">
        <f>"Variant"&amp;" "&amp;$A$18</f>
        <v>Variant 2b</v>
      </c>
      <c r="F82" s="225" t="s">
        <v>32</v>
      </c>
      <c r="G82" s="225"/>
      <c r="H82" s="225"/>
      <c r="I82" s="225"/>
      <c r="J82" s="225"/>
      <c r="K82" s="225"/>
      <c r="L82" s="225" t="s">
        <v>33</v>
      </c>
      <c r="M82" s="225"/>
      <c r="N82" s="225"/>
      <c r="O82" s="225"/>
      <c r="P82" s="225"/>
      <c r="Q82" s="225"/>
      <c r="R82" s="225"/>
    </row>
    <row r="83" spans="1:18" ht="14.25" customHeight="1" outlineLevel="2" x14ac:dyDescent="0.25">
      <c r="B83" s="5" t="s">
        <v>81</v>
      </c>
      <c r="C83" s="5" t="s">
        <v>35</v>
      </c>
      <c r="D83" s="10">
        <v>145200</v>
      </c>
      <c r="E83" s="10">
        <v>23200</v>
      </c>
      <c r="F83" s="226" t="s">
        <v>82</v>
      </c>
      <c r="G83" s="226"/>
      <c r="H83" s="226"/>
      <c r="I83" s="226"/>
      <c r="J83" s="226"/>
      <c r="K83" s="226"/>
      <c r="L83" s="226" t="s">
        <v>78</v>
      </c>
      <c r="M83" s="226"/>
      <c r="N83" s="226"/>
      <c r="O83" s="226"/>
      <c r="P83" s="226"/>
      <c r="Q83" s="226"/>
      <c r="R83" s="226"/>
    </row>
    <row r="84" spans="1:18" outlineLevel="2" x14ac:dyDescent="0.25">
      <c r="A84" s="156" t="s">
        <v>42</v>
      </c>
      <c r="B84" s="5" t="s">
        <v>198</v>
      </c>
      <c r="C84" s="5" t="s">
        <v>35</v>
      </c>
      <c r="D84" s="10">
        <v>0</v>
      </c>
      <c r="E84" s="10">
        <v>0</v>
      </c>
      <c r="F84" s="226" t="s">
        <v>83</v>
      </c>
      <c r="G84" s="226"/>
      <c r="H84" s="226"/>
      <c r="I84" s="226"/>
      <c r="J84" s="226"/>
      <c r="K84" s="226"/>
      <c r="L84" s="226" t="s">
        <v>253</v>
      </c>
      <c r="M84" s="226"/>
      <c r="N84" s="226"/>
      <c r="O84" s="226"/>
      <c r="P84" s="226"/>
      <c r="Q84" s="226"/>
      <c r="R84" s="226"/>
    </row>
    <row r="85" spans="1:18" outlineLevel="2" x14ac:dyDescent="0.25">
      <c r="A85" s="156" t="s">
        <v>42</v>
      </c>
      <c r="B85" s="5" t="s">
        <v>84</v>
      </c>
      <c r="C85" s="5" t="s">
        <v>35</v>
      </c>
      <c r="D85" s="10">
        <v>0</v>
      </c>
      <c r="E85" s="10">
        <v>0</v>
      </c>
      <c r="F85" s="226" t="s">
        <v>85</v>
      </c>
      <c r="G85" s="226"/>
      <c r="H85" s="226"/>
      <c r="I85" s="226"/>
      <c r="J85" s="226"/>
      <c r="K85" s="226"/>
      <c r="L85" s="226" t="s">
        <v>452</v>
      </c>
      <c r="M85" s="226"/>
      <c r="N85" s="226"/>
      <c r="O85" s="226"/>
      <c r="P85" s="226"/>
      <c r="Q85" s="226"/>
      <c r="R85" s="226"/>
    </row>
    <row r="86" spans="1:18" outlineLevel="2" x14ac:dyDescent="0.25">
      <c r="A86" s="156" t="s">
        <v>42</v>
      </c>
      <c r="B86" s="5" t="s">
        <v>86</v>
      </c>
      <c r="C86" s="5" t="s">
        <v>35</v>
      </c>
      <c r="D86" s="10">
        <v>0</v>
      </c>
      <c r="E86" s="10">
        <v>0</v>
      </c>
      <c r="F86" s="226" t="s">
        <v>87</v>
      </c>
      <c r="G86" s="226"/>
      <c r="H86" s="226"/>
      <c r="I86" s="226"/>
      <c r="J86" s="226"/>
      <c r="K86" s="226"/>
      <c r="L86" s="226" t="s">
        <v>453</v>
      </c>
      <c r="M86" s="226"/>
      <c r="N86" s="226"/>
      <c r="O86" s="226"/>
      <c r="P86" s="226"/>
      <c r="Q86" s="226"/>
      <c r="R86" s="226"/>
    </row>
    <row r="87" spans="1:18" ht="28.9" customHeight="1" outlineLevel="2" x14ac:dyDescent="0.25">
      <c r="A87" s="156" t="s">
        <v>42</v>
      </c>
      <c r="B87" s="5" t="s">
        <v>117</v>
      </c>
      <c r="C87" s="5" t="s">
        <v>35</v>
      </c>
      <c r="D87" s="26">
        <f>D139</f>
        <v>51700</v>
      </c>
      <c r="E87" s="26">
        <f>E139</f>
        <v>35110</v>
      </c>
      <c r="F87" s="226" t="s">
        <v>256</v>
      </c>
      <c r="G87" s="226"/>
      <c r="H87" s="226"/>
      <c r="I87" s="226"/>
      <c r="J87" s="226"/>
      <c r="K87" s="226"/>
      <c r="L87" s="226" t="s">
        <v>469</v>
      </c>
      <c r="M87" s="226"/>
      <c r="N87" s="226"/>
      <c r="O87" s="226"/>
      <c r="P87" s="226"/>
      <c r="Q87" s="226"/>
      <c r="R87" s="226"/>
    </row>
    <row r="88" spans="1:18" outlineLevel="2" x14ac:dyDescent="0.25">
      <c r="A88" s="156" t="s">
        <v>42</v>
      </c>
      <c r="B88" s="5" t="s">
        <v>200</v>
      </c>
      <c r="C88" s="5" t="s">
        <v>35</v>
      </c>
      <c r="D88" s="10">
        <v>0</v>
      </c>
      <c r="E88" s="10">
        <v>0</v>
      </c>
      <c r="F88" s="226" t="s">
        <v>257</v>
      </c>
      <c r="G88" s="226"/>
      <c r="H88" s="226"/>
      <c r="I88" s="226"/>
      <c r="J88" s="226"/>
      <c r="K88" s="226"/>
      <c r="L88" s="226" t="s">
        <v>453</v>
      </c>
      <c r="M88" s="226"/>
      <c r="N88" s="226"/>
      <c r="O88" s="226"/>
      <c r="P88" s="226"/>
      <c r="Q88" s="226"/>
      <c r="R88" s="226"/>
    </row>
    <row r="89" spans="1:18" outlineLevel="2" x14ac:dyDescent="0.25">
      <c r="A89" s="156" t="s">
        <v>42</v>
      </c>
      <c r="B89" s="5" t="s">
        <v>201</v>
      </c>
      <c r="C89" s="5" t="s">
        <v>35</v>
      </c>
      <c r="D89" s="10">
        <v>0</v>
      </c>
      <c r="E89" s="10">
        <v>0</v>
      </c>
      <c r="F89" s="226" t="s">
        <v>259</v>
      </c>
      <c r="G89" s="226"/>
      <c r="H89" s="226"/>
      <c r="I89" s="226"/>
      <c r="J89" s="226"/>
      <c r="K89" s="226"/>
      <c r="L89" s="226" t="s">
        <v>454</v>
      </c>
      <c r="M89" s="226"/>
      <c r="N89" s="226"/>
      <c r="O89" s="226"/>
      <c r="P89" s="226"/>
      <c r="Q89" s="226"/>
      <c r="R89" s="226"/>
    </row>
    <row r="90" spans="1:18" outlineLevel="2" x14ac:dyDescent="0.25">
      <c r="A90" s="156" t="s">
        <v>38</v>
      </c>
      <c r="B90" s="5" t="s">
        <v>202</v>
      </c>
      <c r="C90" s="5" t="s">
        <v>35</v>
      </c>
      <c r="D90" s="10">
        <v>0</v>
      </c>
      <c r="E90" s="10">
        <v>0</v>
      </c>
      <c r="F90" s="226" t="s">
        <v>261</v>
      </c>
      <c r="G90" s="226"/>
      <c r="H90" s="226"/>
      <c r="I90" s="226"/>
      <c r="J90" s="226"/>
      <c r="K90" s="226"/>
      <c r="L90" s="226" t="s">
        <v>454</v>
      </c>
      <c r="M90" s="226"/>
      <c r="N90" s="226"/>
      <c r="O90" s="226"/>
      <c r="P90" s="226"/>
      <c r="Q90" s="226"/>
      <c r="R90" s="226"/>
    </row>
    <row r="91" spans="1:18" ht="15.75" outlineLevel="2" thickBot="1" x14ac:dyDescent="0.3">
      <c r="A91" s="156" t="s">
        <v>46</v>
      </c>
      <c r="B91" s="17" t="s">
        <v>34</v>
      </c>
      <c r="C91" s="16" t="s">
        <v>35</v>
      </c>
      <c r="D91" s="98">
        <f>SUM(D83:D90)</f>
        <v>196900</v>
      </c>
      <c r="E91" s="98">
        <f>SUM(E83:E90)</f>
        <v>58310</v>
      </c>
      <c r="F91" s="226"/>
      <c r="G91" s="226"/>
      <c r="H91" s="226"/>
      <c r="I91" s="226"/>
      <c r="J91" s="226"/>
      <c r="K91" s="226"/>
      <c r="L91" s="226"/>
      <c r="M91" s="226"/>
      <c r="N91" s="226"/>
      <c r="O91" s="226"/>
      <c r="P91" s="226"/>
      <c r="Q91" s="226"/>
      <c r="R91" s="226"/>
    </row>
    <row r="92" spans="1:18" ht="15.75" outlineLevel="2" thickTop="1" x14ac:dyDescent="0.25"/>
    <row r="93" spans="1:18" s="9" customFormat="1" ht="15.75" outlineLevel="1" thickBot="1" x14ac:dyDescent="0.3">
      <c r="A93" s="9" t="s">
        <v>203</v>
      </c>
    </row>
    <row r="94" spans="1:18" outlineLevel="1" x14ac:dyDescent="0.25">
      <c r="B94" s="8"/>
    </row>
    <row r="95" spans="1:18" outlineLevel="1" x14ac:dyDescent="0.25">
      <c r="A95" s="21" t="s">
        <v>204</v>
      </c>
      <c r="B95" s="8"/>
    </row>
    <row r="96" spans="1:18" ht="14.45" customHeight="1" outlineLevel="1" x14ac:dyDescent="0.25">
      <c r="B96" s="8"/>
      <c r="C96" s="6" t="s">
        <v>61</v>
      </c>
      <c r="D96" s="39" t="str">
        <f>"Variant"&amp;" "&amp;$A$17</f>
        <v>Variant 2a</v>
      </c>
      <c r="E96" s="39" t="str">
        <f>"Variant"&amp;" "&amp;$A$18</f>
        <v>Variant 2b</v>
      </c>
      <c r="F96" s="225" t="s">
        <v>32</v>
      </c>
      <c r="G96" s="225"/>
      <c r="H96" s="225"/>
      <c r="I96" s="225"/>
      <c r="J96" s="225"/>
      <c r="K96" s="225"/>
      <c r="L96" s="225" t="s">
        <v>33</v>
      </c>
      <c r="M96" s="225"/>
      <c r="N96" s="225"/>
      <c r="O96" s="225"/>
      <c r="P96" s="225"/>
      <c r="Q96" s="225"/>
      <c r="R96" s="225"/>
    </row>
    <row r="97" spans="2:18" ht="14.45" customHeight="1" outlineLevel="1" x14ac:dyDescent="0.25">
      <c r="B97" s="5" t="s">
        <v>88</v>
      </c>
      <c r="C97" s="5" t="s">
        <v>89</v>
      </c>
      <c r="D97" s="162" t="s">
        <v>205</v>
      </c>
      <c r="E97" s="162" t="s">
        <v>205</v>
      </c>
      <c r="F97" s="226" t="s">
        <v>92</v>
      </c>
      <c r="G97" s="226"/>
      <c r="H97" s="226"/>
      <c r="I97" s="226"/>
      <c r="J97" s="226"/>
      <c r="K97" s="226"/>
      <c r="L97" s="226" t="s">
        <v>263</v>
      </c>
      <c r="M97" s="226"/>
      <c r="N97" s="226"/>
      <c r="O97" s="226"/>
      <c r="P97" s="226"/>
      <c r="Q97" s="226"/>
      <c r="R97" s="226"/>
    </row>
    <row r="98" spans="2:18" ht="14.45" customHeight="1" outlineLevel="1" x14ac:dyDescent="0.25">
      <c r="B98" s="7"/>
      <c r="C98" s="31"/>
      <c r="D98" s="33"/>
      <c r="E98" s="33"/>
      <c r="F98" s="31"/>
      <c r="G98" s="24"/>
      <c r="H98" s="24"/>
      <c r="L98" s="23"/>
    </row>
    <row r="99" spans="2:18" ht="14.45" customHeight="1" outlineLevel="1" x14ac:dyDescent="0.25">
      <c r="B99" s="6" t="s">
        <v>206</v>
      </c>
      <c r="C99" s="6" t="s">
        <v>61</v>
      </c>
      <c r="D99" s="39" t="str">
        <f>"Variant"&amp;" "&amp;$A$17</f>
        <v>Variant 2a</v>
      </c>
      <c r="E99" s="39" t="str">
        <f>"Variant"&amp;" "&amp;$A$18</f>
        <v>Variant 2b</v>
      </c>
      <c r="F99" s="225" t="s">
        <v>32</v>
      </c>
      <c r="G99" s="225" t="s">
        <v>79</v>
      </c>
      <c r="H99" s="225" t="s">
        <v>80</v>
      </c>
      <c r="I99" s="225"/>
      <c r="J99" s="225"/>
      <c r="K99" s="225"/>
      <c r="L99" s="225" t="s">
        <v>33</v>
      </c>
      <c r="M99" s="225"/>
      <c r="N99" s="225"/>
      <c r="O99" s="225"/>
      <c r="P99" s="225"/>
      <c r="Q99" s="225"/>
      <c r="R99" s="225"/>
    </row>
    <row r="100" spans="2:18" ht="14.45" customHeight="1" outlineLevel="1" x14ac:dyDescent="0.25">
      <c r="B100" s="42" t="s">
        <v>94</v>
      </c>
      <c r="C100" s="5" t="s">
        <v>95</v>
      </c>
      <c r="D100" s="26">
        <f>IF(D$97="","",_xlfn.XLOOKUP(D$97,'Network costing zones'!$D$4:$F$4,'Network costing zones'!$D5:$F5,"error"))</f>
        <v>170</v>
      </c>
      <c r="E100" s="26">
        <f>IF(E$97="","",_xlfn.XLOOKUP(E$97,'Network costing zones'!$D$4:$F$4,'Network costing zones'!$D5:$F5,"error"))</f>
        <v>170</v>
      </c>
      <c r="F100" s="226" t="s">
        <v>96</v>
      </c>
      <c r="G100" s="226"/>
      <c r="H100" s="226"/>
      <c r="I100" s="226"/>
      <c r="J100" s="226"/>
      <c r="K100" s="226"/>
      <c r="L100" s="227" t="s">
        <v>264</v>
      </c>
      <c r="M100" s="228"/>
      <c r="N100" s="228"/>
      <c r="O100" s="228"/>
      <c r="P100" s="228"/>
      <c r="Q100" s="228"/>
      <c r="R100" s="229"/>
    </row>
    <row r="101" spans="2:18" ht="14.45" customHeight="1" outlineLevel="1" x14ac:dyDescent="0.25">
      <c r="B101" s="42" t="s">
        <v>97</v>
      </c>
      <c r="C101" s="5" t="s">
        <v>95</v>
      </c>
      <c r="D101" s="26">
        <f>IF(D$97="","",_xlfn.XLOOKUP(D$97,'Network costing zones'!$D$4:$F$4,'Network costing zones'!$D6:$F6,"error"))</f>
        <v>530</v>
      </c>
      <c r="E101" s="26">
        <f>IF(E$97="","",_xlfn.XLOOKUP(E$97,'Network costing zones'!$D$4:$F$4,'Network costing zones'!$D6:$F6,"error"))</f>
        <v>530</v>
      </c>
      <c r="F101" s="226" t="s">
        <v>98</v>
      </c>
      <c r="G101" s="226"/>
      <c r="H101" s="226"/>
      <c r="I101" s="226"/>
      <c r="J101" s="226"/>
      <c r="K101" s="226"/>
      <c r="L101" s="230"/>
      <c r="M101" s="231"/>
      <c r="N101" s="231"/>
      <c r="O101" s="231"/>
      <c r="P101" s="231"/>
      <c r="Q101" s="231"/>
      <c r="R101" s="232"/>
    </row>
    <row r="102" spans="2:18" ht="14.45" customHeight="1" outlineLevel="1" x14ac:dyDescent="0.25">
      <c r="B102" s="42" t="s">
        <v>99</v>
      </c>
      <c r="C102" s="5" t="s">
        <v>95</v>
      </c>
      <c r="D102" s="26">
        <f>IF(D$97="","",_xlfn.XLOOKUP(D$97,'Network costing zones'!$D$4:$F$4,'Network costing zones'!$D7:$F7,"error"))</f>
        <v>85</v>
      </c>
      <c r="E102" s="26">
        <f>IF(E$97="","",_xlfn.XLOOKUP(E$97,'Network costing zones'!$D$4:$F$4,'Network costing zones'!$D7:$F7,"error"))</f>
        <v>85</v>
      </c>
      <c r="F102" s="226" t="s">
        <v>100</v>
      </c>
      <c r="G102" s="226"/>
      <c r="H102" s="226"/>
      <c r="I102" s="226"/>
      <c r="J102" s="226"/>
      <c r="K102" s="226"/>
      <c r="L102" s="230"/>
      <c r="M102" s="231"/>
      <c r="N102" s="231"/>
      <c r="O102" s="231"/>
      <c r="P102" s="231"/>
      <c r="Q102" s="231"/>
      <c r="R102" s="232"/>
    </row>
    <row r="103" spans="2:18" ht="14.45" customHeight="1" outlineLevel="1" x14ac:dyDescent="0.25">
      <c r="B103" s="42" t="s">
        <v>101</v>
      </c>
      <c r="C103" s="5" t="s">
        <v>95</v>
      </c>
      <c r="D103" s="26">
        <f>IF(D$97="","",_xlfn.XLOOKUP(D$97,'Network costing zones'!$D$4:$F$4,'Network costing zones'!$D8:$F8,"error"))</f>
        <v>380</v>
      </c>
      <c r="E103" s="26">
        <f>IF(E$97="","",_xlfn.XLOOKUP(E$97,'Network costing zones'!$D$4:$F$4,'Network costing zones'!$D8:$F8,"error"))</f>
        <v>380</v>
      </c>
      <c r="F103" s="226" t="s">
        <v>102</v>
      </c>
      <c r="G103" s="226"/>
      <c r="H103" s="226"/>
      <c r="I103" s="226"/>
      <c r="J103" s="226"/>
      <c r="K103" s="226"/>
      <c r="L103" s="230"/>
      <c r="M103" s="231"/>
      <c r="N103" s="231"/>
      <c r="O103" s="231"/>
      <c r="P103" s="231"/>
      <c r="Q103" s="231"/>
      <c r="R103" s="232"/>
    </row>
    <row r="104" spans="2:18" ht="14.45" customHeight="1" outlineLevel="1" x14ac:dyDescent="0.25">
      <c r="B104" s="42" t="s">
        <v>103</v>
      </c>
      <c r="C104" s="5" t="s">
        <v>95</v>
      </c>
      <c r="D104" s="26">
        <f>IF(D$97="","",_xlfn.XLOOKUP(D$97,'Network costing zones'!$D$4:$F$4,'Network costing zones'!$D9:$F9,"error"))</f>
        <v>100</v>
      </c>
      <c r="E104" s="26">
        <f>IF(E$97="","",_xlfn.XLOOKUP(E$97,'Network costing zones'!$D$4:$F$4,'Network costing zones'!$D9:$F9,"error"))</f>
        <v>100</v>
      </c>
      <c r="F104" s="226" t="s">
        <v>104</v>
      </c>
      <c r="G104" s="226"/>
      <c r="H104" s="226"/>
      <c r="I104" s="226"/>
      <c r="J104" s="226"/>
      <c r="K104" s="226"/>
      <c r="L104" s="233"/>
      <c r="M104" s="234"/>
      <c r="N104" s="234"/>
      <c r="O104" s="234"/>
      <c r="P104" s="234"/>
      <c r="Q104" s="234"/>
      <c r="R104" s="235"/>
    </row>
    <row r="105" spans="2:18" ht="14.45" customHeight="1" outlineLevel="1" x14ac:dyDescent="0.25">
      <c r="B105" s="32"/>
      <c r="D105" s="27"/>
      <c r="E105" s="27"/>
      <c r="F105" s="24"/>
      <c r="G105" s="24"/>
      <c r="H105" s="24"/>
    </row>
    <row r="106" spans="2:18" ht="14.45" customHeight="1" outlineLevel="1" x14ac:dyDescent="0.25">
      <c r="B106" s="6" t="s">
        <v>105</v>
      </c>
      <c r="C106" s="6" t="s">
        <v>61</v>
      </c>
      <c r="D106" s="39" t="str">
        <f>"Variant"&amp;" "&amp;$A$17</f>
        <v>Variant 2a</v>
      </c>
      <c r="E106" s="39" t="str">
        <f>"Variant"&amp;" "&amp;$A$18</f>
        <v>Variant 2b</v>
      </c>
      <c r="F106" s="225" t="s">
        <v>32</v>
      </c>
      <c r="G106" s="225"/>
      <c r="H106" s="225"/>
      <c r="I106" s="225"/>
      <c r="J106" s="225"/>
      <c r="K106" s="225"/>
      <c r="L106" s="225" t="s">
        <v>33</v>
      </c>
      <c r="M106" s="225"/>
      <c r="N106" s="225"/>
      <c r="O106" s="225"/>
      <c r="P106" s="225"/>
      <c r="Q106" s="225"/>
      <c r="R106" s="225"/>
    </row>
    <row r="107" spans="2:18" ht="14.45" customHeight="1" outlineLevel="1" x14ac:dyDescent="0.25">
      <c r="B107" s="42" t="s">
        <v>94</v>
      </c>
      <c r="C107" s="5" t="s">
        <v>106</v>
      </c>
      <c r="D107" s="10">
        <v>0</v>
      </c>
      <c r="E107" s="10">
        <v>0</v>
      </c>
      <c r="F107" s="226" t="s">
        <v>107</v>
      </c>
      <c r="G107" s="226"/>
      <c r="H107" s="226"/>
      <c r="I107" s="226"/>
      <c r="J107" s="226"/>
      <c r="K107" s="226"/>
      <c r="L107" s="227" t="s">
        <v>517</v>
      </c>
      <c r="M107" s="228"/>
      <c r="N107" s="228"/>
      <c r="O107" s="228"/>
      <c r="P107" s="228"/>
      <c r="Q107" s="228"/>
      <c r="R107" s="229"/>
    </row>
    <row r="108" spans="2:18" ht="14.45" customHeight="1" outlineLevel="1" x14ac:dyDescent="0.25">
      <c r="B108" s="42" t="s">
        <v>97</v>
      </c>
      <c r="C108" s="5" t="s">
        <v>106</v>
      </c>
      <c r="D108" s="10">
        <v>0</v>
      </c>
      <c r="E108" s="10">
        <v>50</v>
      </c>
      <c r="F108" s="226" t="s">
        <v>108</v>
      </c>
      <c r="G108" s="226"/>
      <c r="H108" s="226"/>
      <c r="I108" s="226"/>
      <c r="J108" s="226"/>
      <c r="K108" s="226"/>
      <c r="L108" s="233"/>
      <c r="M108" s="234"/>
      <c r="N108" s="234"/>
      <c r="O108" s="234"/>
      <c r="P108" s="234"/>
      <c r="Q108" s="234"/>
      <c r="R108" s="235"/>
    </row>
    <row r="109" spans="2:18" ht="14.45" customHeight="1" outlineLevel="1" x14ac:dyDescent="0.25">
      <c r="B109" s="42" t="s">
        <v>99</v>
      </c>
      <c r="C109" s="5" t="s">
        <v>106</v>
      </c>
      <c r="D109" s="10">
        <v>100</v>
      </c>
      <c r="E109" s="10">
        <v>50</v>
      </c>
      <c r="F109" s="226" t="s">
        <v>109</v>
      </c>
      <c r="G109" s="226"/>
      <c r="H109" s="226"/>
      <c r="I109" s="226"/>
      <c r="J109" s="226"/>
      <c r="K109" s="226"/>
      <c r="L109" s="227" t="s">
        <v>78</v>
      </c>
      <c r="M109" s="228"/>
      <c r="N109" s="228"/>
      <c r="O109" s="228"/>
      <c r="P109" s="228"/>
      <c r="Q109" s="228"/>
      <c r="R109" s="229"/>
    </row>
    <row r="110" spans="2:18" ht="14.45" customHeight="1" outlineLevel="1" x14ac:dyDescent="0.25">
      <c r="B110" s="42" t="s">
        <v>101</v>
      </c>
      <c r="C110" s="5" t="s">
        <v>106</v>
      </c>
      <c r="D110" s="10">
        <v>80</v>
      </c>
      <c r="E110" s="10">
        <v>2</v>
      </c>
      <c r="F110" s="226" t="s">
        <v>110</v>
      </c>
      <c r="G110" s="226"/>
      <c r="H110" s="226"/>
      <c r="I110" s="226"/>
      <c r="J110" s="226"/>
      <c r="K110" s="226"/>
      <c r="L110" s="230"/>
      <c r="M110" s="231"/>
      <c r="N110" s="231"/>
      <c r="O110" s="231"/>
      <c r="P110" s="231"/>
      <c r="Q110" s="231"/>
      <c r="R110" s="232"/>
    </row>
    <row r="111" spans="2:18" ht="14.45" customHeight="1" outlineLevel="1" x14ac:dyDescent="0.25">
      <c r="B111" s="42" t="s">
        <v>103</v>
      </c>
      <c r="C111" s="5" t="s">
        <v>106</v>
      </c>
      <c r="D111" s="10">
        <v>60</v>
      </c>
      <c r="E111" s="10">
        <v>2</v>
      </c>
      <c r="F111" s="226" t="s">
        <v>111</v>
      </c>
      <c r="G111" s="226"/>
      <c r="H111" s="226"/>
      <c r="I111" s="226"/>
      <c r="J111" s="226"/>
      <c r="K111" s="226"/>
      <c r="L111" s="233"/>
      <c r="M111" s="234"/>
      <c r="N111" s="234"/>
      <c r="O111" s="234"/>
      <c r="P111" s="234"/>
      <c r="Q111" s="234"/>
      <c r="R111" s="235"/>
    </row>
    <row r="112" spans="2:18" ht="14.45" customHeight="1" outlineLevel="1" x14ac:dyDescent="0.25">
      <c r="B112" s="58"/>
      <c r="D112" s="23"/>
      <c r="E112" s="23"/>
      <c r="F112" s="23"/>
      <c r="G112" s="23"/>
      <c r="H112" s="23"/>
      <c r="I112" s="23"/>
      <c r="J112" s="23"/>
      <c r="K112" s="44"/>
      <c r="L112" s="44"/>
      <c r="M112" s="44"/>
      <c r="N112" s="44"/>
      <c r="O112" s="44"/>
      <c r="P112" s="44"/>
      <c r="Q112" s="44"/>
      <c r="R112" s="44"/>
    </row>
    <row r="113" spans="2:18" outlineLevel="1" x14ac:dyDescent="0.25">
      <c r="B113" s="247" t="s">
        <v>207</v>
      </c>
      <c r="C113" s="249"/>
      <c r="D113" s="39" t="str">
        <f>"Variant"&amp;" "&amp;$A$17</f>
        <v>Variant 2a</v>
      </c>
      <c r="E113" s="39" t="str">
        <f>"Variant"&amp;" "&amp;$A$18</f>
        <v>Variant 2b</v>
      </c>
      <c r="F113" s="225" t="s">
        <v>32</v>
      </c>
      <c r="G113" s="225"/>
      <c r="H113" s="225"/>
      <c r="I113" s="225"/>
      <c r="J113" s="225"/>
      <c r="K113" s="225"/>
      <c r="L113" s="225" t="s">
        <v>33</v>
      </c>
      <c r="M113" s="225"/>
      <c r="N113" s="225"/>
      <c r="O113" s="225"/>
      <c r="P113" s="225"/>
      <c r="Q113" s="225"/>
      <c r="R113" s="225"/>
    </row>
    <row r="114" spans="2:18" ht="29.1" customHeight="1" outlineLevel="1" x14ac:dyDescent="0.25">
      <c r="B114" s="240" t="s">
        <v>208</v>
      </c>
      <c r="C114" s="242"/>
      <c r="D114" s="99"/>
      <c r="E114" s="99"/>
      <c r="F114" s="226"/>
      <c r="G114" s="226"/>
      <c r="H114" s="226"/>
      <c r="I114" s="226"/>
      <c r="J114" s="226"/>
      <c r="K114" s="226"/>
      <c r="L114" s="226"/>
      <c r="M114" s="226"/>
      <c r="N114" s="226"/>
      <c r="O114" s="226"/>
      <c r="P114" s="226"/>
      <c r="Q114" s="226"/>
      <c r="R114" s="226"/>
    </row>
    <row r="115" spans="2:18" ht="14.45" customHeight="1" outlineLevel="1" x14ac:dyDescent="0.25">
      <c r="B115" s="100" t="s">
        <v>209</v>
      </c>
      <c r="C115" s="101"/>
      <c r="D115" s="99" t="s">
        <v>210</v>
      </c>
      <c r="E115" s="99" t="s">
        <v>210</v>
      </c>
      <c r="F115" s="226"/>
      <c r="G115" s="226"/>
      <c r="H115" s="226"/>
      <c r="I115" s="226"/>
      <c r="J115" s="226"/>
      <c r="K115" s="226"/>
      <c r="L115" s="227" t="s">
        <v>211</v>
      </c>
      <c r="M115" s="228"/>
      <c r="N115" s="228"/>
      <c r="O115" s="228"/>
      <c r="P115" s="228"/>
      <c r="Q115" s="228"/>
      <c r="R115" s="229"/>
    </row>
    <row r="116" spans="2:18" ht="14.45" customHeight="1" outlineLevel="1" x14ac:dyDescent="0.25">
      <c r="B116" s="100" t="s">
        <v>212</v>
      </c>
      <c r="C116" s="101"/>
      <c r="D116" s="99" t="s">
        <v>210</v>
      </c>
      <c r="E116" s="99" t="s">
        <v>210</v>
      </c>
      <c r="F116" s="226"/>
      <c r="G116" s="226"/>
      <c r="H116" s="226"/>
      <c r="I116" s="226"/>
      <c r="J116" s="226"/>
      <c r="K116" s="226"/>
      <c r="L116" s="230"/>
      <c r="M116" s="231"/>
      <c r="N116" s="231"/>
      <c r="O116" s="231"/>
      <c r="P116" s="231"/>
      <c r="Q116" s="231"/>
      <c r="R116" s="232"/>
    </row>
    <row r="117" spans="2:18" ht="14.45" customHeight="1" outlineLevel="1" x14ac:dyDescent="0.25">
      <c r="B117" s="100" t="s">
        <v>213</v>
      </c>
      <c r="C117" s="101"/>
      <c r="D117" s="99" t="s">
        <v>210</v>
      </c>
      <c r="E117" s="99" t="s">
        <v>210</v>
      </c>
      <c r="F117" s="226"/>
      <c r="G117" s="226"/>
      <c r="H117" s="226"/>
      <c r="I117" s="226"/>
      <c r="J117" s="226"/>
      <c r="K117" s="226"/>
      <c r="L117" s="233"/>
      <c r="M117" s="234"/>
      <c r="N117" s="234"/>
      <c r="O117" s="234"/>
      <c r="P117" s="234"/>
      <c r="Q117" s="234"/>
      <c r="R117" s="235"/>
    </row>
    <row r="118" spans="2:18" ht="14.45" customHeight="1" outlineLevel="1" x14ac:dyDescent="0.25">
      <c r="B118" s="240" t="s">
        <v>214</v>
      </c>
      <c r="C118" s="242"/>
      <c r="D118" s="99"/>
      <c r="E118" s="99"/>
      <c r="F118" s="226"/>
      <c r="G118" s="226"/>
      <c r="H118" s="226"/>
      <c r="I118" s="226"/>
      <c r="J118" s="226"/>
      <c r="K118" s="226"/>
      <c r="L118" s="226"/>
      <c r="M118" s="226"/>
      <c r="N118" s="226"/>
      <c r="O118" s="226"/>
      <c r="P118" s="226"/>
      <c r="Q118" s="226"/>
      <c r="R118" s="226"/>
    </row>
    <row r="119" spans="2:18" outlineLevel="1" x14ac:dyDescent="0.25">
      <c r="B119" s="100" t="s">
        <v>209</v>
      </c>
      <c r="C119" s="102" t="s">
        <v>35</v>
      </c>
      <c r="D119" s="99"/>
      <c r="E119" s="99"/>
      <c r="F119" s="226"/>
      <c r="G119" s="226"/>
      <c r="H119" s="226"/>
      <c r="I119" s="226"/>
      <c r="J119" s="226"/>
      <c r="K119" s="226"/>
      <c r="L119" s="226"/>
      <c r="M119" s="226"/>
      <c r="N119" s="226"/>
      <c r="O119" s="226"/>
      <c r="P119" s="226"/>
      <c r="Q119" s="226"/>
      <c r="R119" s="226"/>
    </row>
    <row r="120" spans="2:18" outlineLevel="1" x14ac:dyDescent="0.25">
      <c r="B120" s="100" t="s">
        <v>212</v>
      </c>
      <c r="C120" s="102" t="s">
        <v>35</v>
      </c>
      <c r="D120" s="99"/>
      <c r="E120" s="99"/>
      <c r="F120" s="226"/>
      <c r="G120" s="226"/>
      <c r="H120" s="226"/>
      <c r="I120" s="226"/>
      <c r="J120" s="226"/>
      <c r="K120" s="226"/>
      <c r="L120" s="226"/>
      <c r="M120" s="226"/>
      <c r="N120" s="226"/>
      <c r="O120" s="226"/>
      <c r="P120" s="226"/>
      <c r="Q120" s="226"/>
      <c r="R120" s="226"/>
    </row>
    <row r="121" spans="2:18" outlineLevel="1" x14ac:dyDescent="0.25">
      <c r="B121" s="100" t="s">
        <v>213</v>
      </c>
      <c r="C121" s="102" t="s">
        <v>35</v>
      </c>
      <c r="D121" s="99"/>
      <c r="E121" s="99"/>
      <c r="F121" s="226"/>
      <c r="G121" s="226"/>
      <c r="H121" s="226"/>
      <c r="I121" s="226"/>
      <c r="J121" s="226"/>
      <c r="K121" s="226"/>
      <c r="L121" s="226"/>
      <c r="M121" s="226"/>
      <c r="N121" s="226"/>
      <c r="O121" s="226"/>
      <c r="P121" s="226"/>
      <c r="Q121" s="226"/>
      <c r="R121" s="226"/>
    </row>
    <row r="122" spans="2:18" outlineLevel="1" x14ac:dyDescent="0.25">
      <c r="F122" s="103"/>
      <c r="G122" s="103"/>
      <c r="H122" s="103"/>
      <c r="I122" s="103"/>
      <c r="J122" s="103"/>
      <c r="K122" s="103"/>
    </row>
    <row r="123" spans="2:18" outlineLevel="1" x14ac:dyDescent="0.25">
      <c r="B123" s="247" t="s">
        <v>215</v>
      </c>
      <c r="C123" s="249"/>
      <c r="D123" s="39" t="str">
        <f>"Variant"&amp;" "&amp;$A$17</f>
        <v>Variant 2a</v>
      </c>
      <c r="E123" s="39" t="str">
        <f>"Variant"&amp;" "&amp;$A$18</f>
        <v>Variant 2b</v>
      </c>
      <c r="F123" s="225" t="s">
        <v>32</v>
      </c>
      <c r="G123" s="225"/>
      <c r="H123" s="225"/>
      <c r="I123" s="225"/>
      <c r="J123" s="225"/>
      <c r="K123" s="225"/>
      <c r="L123" s="225" t="s">
        <v>33</v>
      </c>
      <c r="M123" s="225"/>
      <c r="N123" s="225"/>
      <c r="O123" s="225"/>
      <c r="P123" s="225"/>
      <c r="Q123" s="225"/>
      <c r="R123" s="225"/>
    </row>
    <row r="124" spans="2:18" ht="43.35" customHeight="1" outlineLevel="1" x14ac:dyDescent="0.25">
      <c r="B124" s="240" t="s">
        <v>216</v>
      </c>
      <c r="C124" s="242"/>
      <c r="D124" s="99"/>
      <c r="E124" s="99"/>
      <c r="F124" s="226"/>
      <c r="G124" s="226"/>
      <c r="H124" s="226"/>
      <c r="I124" s="226"/>
      <c r="J124" s="226"/>
      <c r="K124" s="226"/>
      <c r="L124" s="226"/>
      <c r="M124" s="226"/>
      <c r="N124" s="226"/>
      <c r="O124" s="226"/>
      <c r="P124" s="226"/>
      <c r="Q124" s="226"/>
      <c r="R124" s="226"/>
    </row>
    <row r="125" spans="2:18" ht="14.45" customHeight="1" outlineLevel="1" x14ac:dyDescent="0.25">
      <c r="B125" s="100" t="s">
        <v>209</v>
      </c>
      <c r="C125" s="101"/>
      <c r="D125" s="99" t="s">
        <v>217</v>
      </c>
      <c r="E125" s="99" t="s">
        <v>217</v>
      </c>
      <c r="F125" s="226"/>
      <c r="G125" s="226"/>
      <c r="H125" s="226"/>
      <c r="I125" s="226"/>
      <c r="J125" s="226"/>
      <c r="K125" s="226"/>
      <c r="L125" s="227" t="s">
        <v>218</v>
      </c>
      <c r="M125" s="228"/>
      <c r="N125" s="228"/>
      <c r="O125" s="228"/>
      <c r="P125" s="228"/>
      <c r="Q125" s="228"/>
      <c r="R125" s="229"/>
    </row>
    <row r="126" spans="2:18" ht="14.45" customHeight="1" outlineLevel="1" x14ac:dyDescent="0.25">
      <c r="B126" s="100" t="s">
        <v>212</v>
      </c>
      <c r="C126" s="101"/>
      <c r="D126" s="99" t="s">
        <v>210</v>
      </c>
      <c r="E126" s="99" t="s">
        <v>210</v>
      </c>
      <c r="F126" s="226"/>
      <c r="G126" s="226"/>
      <c r="H126" s="226"/>
      <c r="I126" s="226"/>
      <c r="J126" s="226"/>
      <c r="K126" s="226"/>
      <c r="L126" s="230"/>
      <c r="M126" s="231"/>
      <c r="N126" s="231"/>
      <c r="O126" s="231"/>
      <c r="P126" s="231"/>
      <c r="Q126" s="231"/>
      <c r="R126" s="232"/>
    </row>
    <row r="127" spans="2:18" ht="14.45" customHeight="1" outlineLevel="1" x14ac:dyDescent="0.25">
      <c r="B127" s="100" t="s">
        <v>213</v>
      </c>
      <c r="C127" s="101"/>
      <c r="D127" s="99" t="s">
        <v>210</v>
      </c>
      <c r="E127" s="99" t="s">
        <v>210</v>
      </c>
      <c r="F127" s="226"/>
      <c r="G127" s="226"/>
      <c r="H127" s="226"/>
      <c r="I127" s="226"/>
      <c r="J127" s="226"/>
      <c r="K127" s="226"/>
      <c r="L127" s="233"/>
      <c r="M127" s="234"/>
      <c r="N127" s="234"/>
      <c r="O127" s="234"/>
      <c r="P127" s="234"/>
      <c r="Q127" s="234"/>
      <c r="R127" s="235"/>
    </row>
    <row r="128" spans="2:18" ht="29.1" customHeight="1" outlineLevel="1" x14ac:dyDescent="0.25">
      <c r="B128" s="240" t="s">
        <v>219</v>
      </c>
      <c r="C128" s="242"/>
      <c r="D128" s="26"/>
      <c r="E128" s="26"/>
      <c r="F128" s="226"/>
      <c r="G128" s="226"/>
      <c r="H128" s="226"/>
      <c r="I128" s="226"/>
      <c r="J128" s="226"/>
      <c r="K128" s="226"/>
      <c r="L128" s="226"/>
      <c r="M128" s="226"/>
      <c r="N128" s="226"/>
      <c r="O128" s="226"/>
      <c r="P128" s="226"/>
      <c r="Q128" s="226"/>
      <c r="R128" s="226"/>
    </row>
    <row r="129" spans="1:18" ht="14.45" customHeight="1" outlineLevel="1" x14ac:dyDescent="0.25">
      <c r="B129" s="100" t="s">
        <v>209</v>
      </c>
      <c r="C129" s="102" t="s">
        <v>69</v>
      </c>
      <c r="D129" s="164">
        <v>1.8</v>
      </c>
      <c r="E129" s="164">
        <v>1.8</v>
      </c>
      <c r="F129" s="226"/>
      <c r="G129" s="226"/>
      <c r="H129" s="226"/>
      <c r="I129" s="226"/>
      <c r="J129" s="226"/>
      <c r="K129" s="226"/>
      <c r="L129" s="227" t="s">
        <v>220</v>
      </c>
      <c r="M129" s="228"/>
      <c r="N129" s="228"/>
      <c r="O129" s="228"/>
      <c r="P129" s="228"/>
      <c r="Q129" s="228"/>
      <c r="R129" s="229"/>
    </row>
    <row r="130" spans="1:18" outlineLevel="1" x14ac:dyDescent="0.25">
      <c r="B130" s="100" t="s">
        <v>212</v>
      </c>
      <c r="C130" s="102" t="s">
        <v>69</v>
      </c>
      <c r="D130" s="164"/>
      <c r="E130" s="164"/>
      <c r="F130" s="226"/>
      <c r="G130" s="226"/>
      <c r="H130" s="226"/>
      <c r="I130" s="226"/>
      <c r="J130" s="226"/>
      <c r="K130" s="226"/>
      <c r="L130" s="230"/>
      <c r="M130" s="231"/>
      <c r="N130" s="231"/>
      <c r="O130" s="231"/>
      <c r="P130" s="231"/>
      <c r="Q130" s="231"/>
      <c r="R130" s="232"/>
    </row>
    <row r="131" spans="1:18" outlineLevel="1" x14ac:dyDescent="0.25">
      <c r="B131" s="100" t="s">
        <v>213</v>
      </c>
      <c r="C131" s="102" t="s">
        <v>69</v>
      </c>
      <c r="D131" s="164"/>
      <c r="E131" s="164"/>
      <c r="F131" s="226"/>
      <c r="G131" s="226"/>
      <c r="H131" s="226"/>
      <c r="I131" s="226"/>
      <c r="J131" s="226"/>
      <c r="K131" s="226"/>
      <c r="L131" s="233"/>
      <c r="M131" s="234"/>
      <c r="N131" s="234"/>
      <c r="O131" s="234"/>
      <c r="P131" s="234"/>
      <c r="Q131" s="234"/>
      <c r="R131" s="235"/>
    </row>
    <row r="132" spans="1:18" outlineLevel="1" x14ac:dyDescent="0.25">
      <c r="B132" s="8"/>
    </row>
    <row r="133" spans="1:18" outlineLevel="3" x14ac:dyDescent="0.25">
      <c r="B133" s="6" t="s">
        <v>221</v>
      </c>
      <c r="C133" s="6" t="s">
        <v>61</v>
      </c>
      <c r="D133" s="39" t="str">
        <f>"Variant"&amp;" "&amp;$A$17</f>
        <v>Variant 2a</v>
      </c>
      <c r="E133" s="39" t="str">
        <f>"Variant"&amp;" "&amp;$A$18</f>
        <v>Variant 2b</v>
      </c>
      <c r="F133" s="225" t="s">
        <v>32</v>
      </c>
      <c r="G133" s="225"/>
      <c r="H133" s="225"/>
      <c r="I133" s="225"/>
      <c r="J133" s="225"/>
      <c r="K133" s="225"/>
      <c r="L133" s="225" t="s">
        <v>33</v>
      </c>
      <c r="M133" s="225"/>
      <c r="N133" s="225"/>
      <c r="O133" s="225"/>
      <c r="P133" s="225"/>
      <c r="Q133" s="225"/>
      <c r="R133" s="225"/>
    </row>
    <row r="134" spans="1:18" ht="14.45" customHeight="1" outlineLevel="3" x14ac:dyDescent="0.25">
      <c r="A134" s="13"/>
      <c r="B134" s="5" t="str">
        <f>B100</f>
        <v>Low voltage mains (LV)</v>
      </c>
      <c r="C134" s="5" t="s">
        <v>35</v>
      </c>
      <c r="D134" s="106">
        <f>D100*D107</f>
        <v>0</v>
      </c>
      <c r="E134" s="106">
        <f>E100*E107</f>
        <v>0</v>
      </c>
      <c r="F134" s="226" t="s">
        <v>112</v>
      </c>
      <c r="G134" s="226"/>
      <c r="H134" s="226"/>
      <c r="I134" s="226"/>
      <c r="J134" s="226"/>
      <c r="K134" s="226"/>
      <c r="L134" s="226"/>
      <c r="M134" s="226"/>
      <c r="N134" s="226"/>
      <c r="O134" s="226"/>
      <c r="P134" s="226"/>
      <c r="Q134" s="226"/>
      <c r="R134" s="226"/>
    </row>
    <row r="135" spans="1:18" ht="14.45" customHeight="1" outlineLevel="3" x14ac:dyDescent="0.25">
      <c r="A135" s="156" t="s">
        <v>42</v>
      </c>
      <c r="B135" s="5" t="str">
        <f>B101</f>
        <v>Distribution substation (DS)</v>
      </c>
      <c r="C135" s="5" t="s">
        <v>35</v>
      </c>
      <c r="D135" s="106">
        <f>D101*D108</f>
        <v>0</v>
      </c>
      <c r="E135" s="106">
        <f>E101*E108</f>
        <v>26500</v>
      </c>
      <c r="F135" s="226" t="s">
        <v>113</v>
      </c>
      <c r="G135" s="226"/>
      <c r="H135" s="226"/>
      <c r="I135" s="226"/>
      <c r="J135" s="226"/>
      <c r="K135" s="226"/>
      <c r="L135" s="226"/>
      <c r="M135" s="226"/>
      <c r="N135" s="226"/>
      <c r="O135" s="226"/>
      <c r="P135" s="226"/>
      <c r="Q135" s="226"/>
      <c r="R135" s="226"/>
    </row>
    <row r="136" spans="1:18" ht="14.45" customHeight="1" outlineLevel="3" x14ac:dyDescent="0.25">
      <c r="A136" s="156" t="s">
        <v>42</v>
      </c>
      <c r="B136" s="5" t="str">
        <f>B102</f>
        <v>High voltage feeder (HVF)</v>
      </c>
      <c r="C136" s="5" t="s">
        <v>35</v>
      </c>
      <c r="D136" s="106">
        <f t="shared" ref="D136:E138" si="13">IF(D115="Yes",D119,IF(D125="Yes",D102*D109*D129,D102*D109))</f>
        <v>15300</v>
      </c>
      <c r="E136" s="106">
        <f t="shared" si="13"/>
        <v>7650</v>
      </c>
      <c r="F136" s="226" t="s">
        <v>114</v>
      </c>
      <c r="G136" s="226"/>
      <c r="H136" s="226"/>
      <c r="I136" s="226"/>
      <c r="J136" s="226"/>
      <c r="K136" s="226"/>
      <c r="L136" s="226"/>
      <c r="M136" s="226"/>
      <c r="N136" s="226"/>
      <c r="O136" s="226"/>
      <c r="P136" s="226"/>
      <c r="Q136" s="226"/>
      <c r="R136" s="226"/>
    </row>
    <row r="137" spans="1:18" ht="14.45" customHeight="1" outlineLevel="3" x14ac:dyDescent="0.25">
      <c r="A137" s="156" t="s">
        <v>42</v>
      </c>
      <c r="B137" s="5" t="str">
        <f>B103</f>
        <v>Zone substation (ZS)</v>
      </c>
      <c r="C137" s="5" t="s">
        <v>35</v>
      </c>
      <c r="D137" s="106">
        <f t="shared" si="13"/>
        <v>30400</v>
      </c>
      <c r="E137" s="106">
        <f t="shared" si="13"/>
        <v>760</v>
      </c>
      <c r="F137" s="226" t="s">
        <v>115</v>
      </c>
      <c r="G137" s="226"/>
      <c r="H137" s="226"/>
      <c r="I137" s="226"/>
      <c r="J137" s="226"/>
      <c r="K137" s="226"/>
      <c r="L137" s="226"/>
      <c r="M137" s="226"/>
      <c r="N137" s="226"/>
      <c r="O137" s="226"/>
      <c r="P137" s="226"/>
      <c r="Q137" s="226"/>
      <c r="R137" s="226"/>
    </row>
    <row r="138" spans="1:18" ht="14.45" customHeight="1" outlineLevel="3" x14ac:dyDescent="0.25">
      <c r="A138" s="156" t="s">
        <v>42</v>
      </c>
      <c r="B138" s="5" t="str">
        <f>B104</f>
        <v>Sub-transmission line (STL)</v>
      </c>
      <c r="C138" s="5" t="s">
        <v>35</v>
      </c>
      <c r="D138" s="106">
        <f t="shared" si="13"/>
        <v>6000</v>
      </c>
      <c r="E138" s="106">
        <f t="shared" si="13"/>
        <v>200</v>
      </c>
      <c r="F138" s="226" t="s">
        <v>116</v>
      </c>
      <c r="G138" s="226"/>
      <c r="H138" s="226"/>
      <c r="I138" s="226"/>
      <c r="J138" s="226"/>
      <c r="K138" s="226"/>
      <c r="L138" s="226"/>
      <c r="M138" s="226"/>
      <c r="N138" s="226"/>
      <c r="O138" s="226"/>
      <c r="P138" s="226"/>
      <c r="Q138" s="226"/>
      <c r="R138" s="226"/>
    </row>
    <row r="139" spans="1:18" ht="15.75" outlineLevel="3" thickBot="1" x14ac:dyDescent="0.3">
      <c r="A139" s="156" t="s">
        <v>46</v>
      </c>
      <c r="B139" s="17" t="s">
        <v>199</v>
      </c>
      <c r="C139" s="16" t="s">
        <v>35</v>
      </c>
      <c r="D139" s="98">
        <f>SUM(D134:D138)</f>
        <v>51700</v>
      </c>
      <c r="E139" s="98">
        <f t="shared" ref="E139" si="14">SUM(E134:E138)</f>
        <v>35110</v>
      </c>
      <c r="F139" s="226"/>
      <c r="G139" s="226"/>
      <c r="H139" s="226"/>
      <c r="I139" s="226"/>
      <c r="J139" s="226"/>
      <c r="K139" s="226"/>
      <c r="L139" s="226"/>
      <c r="M139" s="226"/>
      <c r="N139" s="226"/>
      <c r="O139" s="226"/>
      <c r="P139" s="226"/>
      <c r="Q139" s="226"/>
      <c r="R139" s="226"/>
    </row>
    <row r="140" spans="1:18" ht="15.75" outlineLevel="3" thickTop="1" x14ac:dyDescent="0.25"/>
    <row r="141" spans="1:18" s="73" customFormat="1" ht="18" thickBot="1" x14ac:dyDescent="0.35">
      <c r="A141" s="73" t="s">
        <v>222</v>
      </c>
    </row>
    <row r="142" spans="1:18" ht="15.75" outlineLevel="1" thickTop="1" x14ac:dyDescent="0.25">
      <c r="D142" s="23"/>
      <c r="E142" s="23"/>
      <c r="F142" s="23"/>
      <c r="G142" s="23"/>
      <c r="H142" s="23"/>
      <c r="I142" s="23"/>
      <c r="J142" s="23"/>
      <c r="K142" s="24"/>
      <c r="L142" s="24"/>
      <c r="M142" s="24"/>
    </row>
    <row r="143" spans="1:18" s="9" customFormat="1" ht="15.75" outlineLevel="1" thickBot="1" x14ac:dyDescent="0.3">
      <c r="A143" s="9" t="s">
        <v>223</v>
      </c>
    </row>
    <row r="144" spans="1:18" outlineLevel="1" x14ac:dyDescent="0.25">
      <c r="D144" s="23"/>
      <c r="E144" s="23"/>
      <c r="F144" s="23"/>
      <c r="G144" s="23"/>
      <c r="H144" s="23"/>
      <c r="I144" s="23"/>
      <c r="J144" s="23"/>
      <c r="K144" s="24"/>
      <c r="L144" s="24"/>
      <c r="M144" s="24"/>
    </row>
    <row r="145" spans="1:18" outlineLevel="2" x14ac:dyDescent="0.25">
      <c r="A145" s="13"/>
      <c r="B145" s="7"/>
      <c r="C145" s="6" t="s">
        <v>61</v>
      </c>
      <c r="D145" s="39" t="str">
        <f>"Variant"&amp;" "&amp;$A$17</f>
        <v>Variant 2a</v>
      </c>
      <c r="E145" s="39" t="str">
        <f>"Variant"&amp;" "&amp;$A$18</f>
        <v>Variant 2b</v>
      </c>
      <c r="F145" s="225" t="s">
        <v>32</v>
      </c>
      <c r="G145" s="225"/>
      <c r="H145" s="225"/>
      <c r="I145" s="225"/>
      <c r="J145" s="225"/>
      <c r="K145" s="225"/>
      <c r="L145" s="225" t="s">
        <v>33</v>
      </c>
      <c r="M145" s="225"/>
      <c r="N145" s="225"/>
      <c r="O145" s="225"/>
      <c r="P145" s="225"/>
      <c r="Q145" s="225"/>
      <c r="R145" s="225"/>
    </row>
    <row r="146" spans="1:18" ht="28.9" customHeight="1" outlineLevel="2" x14ac:dyDescent="0.25">
      <c r="A146" s="13"/>
      <c r="B146" s="2" t="s">
        <v>52</v>
      </c>
      <c r="C146" s="5" t="s">
        <v>35</v>
      </c>
      <c r="D146" s="26" cm="1">
        <f t="array" ref="D146">D158*$D$162*SUMPRODUCT(IF($L69:$AP69&lt;=D$64,1,0),$L71:$AP71,'Distributor assumptions'!$K15:$AO15,_xlfn.XLOOKUP(D$155,'Cons group &amp; variant assumption'!$A75:$A85,'Cons group &amp; variant assumption'!$O75:$AS85),_xlfn.XLOOKUP(D$155,'Cons group &amp; variant assumption'!$A106:$A114,'Cons group &amp; variant assumption'!$O106:$AS114))</f>
        <v>144452.62976352105</v>
      </c>
      <c r="E146" s="26" cm="1">
        <f t="array" ref="E146">E158*$D$162*SUMPRODUCT(IF($L69:$AP69&lt;=E$64,1,0),$L71:$AP71,'Distributor assumptions'!$K15:$AO15,_xlfn.XLOOKUP(E$155,'Cons group &amp; variant assumption'!$A75:$A85,'Cons group &amp; variant assumption'!$O75:$AS85),_xlfn.XLOOKUP(E$155,'Cons group &amp; variant assumption'!$A106:$A114,'Cons group &amp; variant assumption'!$O106:$AS114))</f>
        <v>144452.62976352105</v>
      </c>
      <c r="F146" s="226" t="s">
        <v>154</v>
      </c>
      <c r="G146" s="226"/>
      <c r="H146" s="226"/>
      <c r="I146" s="226"/>
      <c r="J146" s="226"/>
      <c r="K146" s="226"/>
      <c r="L146" s="226" t="s">
        <v>455</v>
      </c>
      <c r="M146" s="226"/>
      <c r="N146" s="226"/>
      <c r="O146" s="226"/>
      <c r="P146" s="226"/>
      <c r="Q146" s="226"/>
      <c r="R146" s="226"/>
    </row>
    <row r="147" spans="1:18" ht="28.9" customHeight="1" outlineLevel="2" x14ac:dyDescent="0.25">
      <c r="A147" s="156" t="s">
        <v>42</v>
      </c>
      <c r="B147" s="2" t="s">
        <v>156</v>
      </c>
      <c r="C147" s="14" t="s">
        <v>35</v>
      </c>
      <c r="D147" s="26" cm="1">
        <f t="array" ref="D147">D159*SUMPRODUCT(IF($L69:$AP69&lt;=D$64,1,0),$L71:$AP71,'Distributor assumptions'!$K16:$AO16,_xlfn.XLOOKUP(D$155,'Cons group &amp; variant assumption'!$A$88:$A$99,'Cons group &amp; variant assumption'!$O$88:$AS$99),_xlfn.XLOOKUP(D$155,'Cons group &amp; variant assumption'!$A$120:$A$124,'Cons group &amp; variant assumption'!$O$120:$AS$124))</f>
        <v>73741.621605136213</v>
      </c>
      <c r="E147" s="26" cm="1">
        <f t="array" ref="E147">E159*SUMPRODUCT(IF($L69:$AP69&lt;=E$64,1,0),$L71:$AP71,'Distributor assumptions'!$K16:$AO16,_xlfn.XLOOKUP(E$155,'Cons group &amp; variant assumption'!$A$88:$A$99,'Cons group &amp; variant assumption'!$O$88:$AS$99),_xlfn.XLOOKUP(E$155,'Cons group &amp; variant assumption'!$A$120:$A$124,'Cons group &amp; variant assumption'!$O$120:$AS$124))</f>
        <v>73741.621605136213</v>
      </c>
      <c r="F147" s="226" t="s">
        <v>157</v>
      </c>
      <c r="G147" s="226"/>
      <c r="H147" s="226"/>
      <c r="I147" s="226"/>
      <c r="J147" s="226"/>
      <c r="K147" s="226"/>
      <c r="L147" s="226" t="s">
        <v>456</v>
      </c>
      <c r="M147" s="226"/>
      <c r="N147" s="226"/>
      <c r="O147" s="226"/>
      <c r="P147" s="226"/>
      <c r="Q147" s="226"/>
      <c r="R147" s="226"/>
    </row>
    <row r="148" spans="1:18" ht="15" customHeight="1" outlineLevel="2" thickBot="1" x14ac:dyDescent="0.3">
      <c r="A148" s="156" t="s">
        <v>46</v>
      </c>
      <c r="B148" s="17" t="s">
        <v>159</v>
      </c>
      <c r="C148" s="16" t="s">
        <v>35</v>
      </c>
      <c r="D148" s="98">
        <f>SUM(D146:D147)</f>
        <v>218194.25136865728</v>
      </c>
      <c r="E148" s="98">
        <f t="shared" ref="E148" si="15">SUM(E146:E147)</f>
        <v>218194.25136865728</v>
      </c>
      <c r="F148" s="226"/>
      <c r="G148" s="226"/>
      <c r="H148" s="226"/>
      <c r="I148" s="226"/>
      <c r="J148" s="226"/>
      <c r="K148" s="226"/>
      <c r="L148" s="226"/>
      <c r="M148" s="226"/>
      <c r="N148" s="226"/>
      <c r="O148" s="226"/>
      <c r="P148" s="226"/>
      <c r="Q148" s="226"/>
      <c r="R148" s="226"/>
    </row>
    <row r="149" spans="1:18" ht="15" customHeight="1" outlineLevel="2" thickTop="1" x14ac:dyDescent="0.25">
      <c r="A149" s="4"/>
    </row>
    <row r="150" spans="1:18" s="9" customFormat="1" ht="15.75" outlineLevel="1" thickBot="1" x14ac:dyDescent="0.3">
      <c r="A150" s="9" t="s">
        <v>203</v>
      </c>
    </row>
    <row r="151" spans="1:18" outlineLevel="1" x14ac:dyDescent="0.25">
      <c r="D151" s="23"/>
      <c r="E151" s="23"/>
      <c r="F151" s="23"/>
      <c r="G151" s="23"/>
      <c r="H151" s="23"/>
      <c r="I151" s="23"/>
      <c r="J151" s="23"/>
      <c r="K151" s="24"/>
      <c r="L151" s="24"/>
      <c r="M151" s="24"/>
    </row>
    <row r="152" spans="1:18" outlineLevel="1" x14ac:dyDescent="0.25">
      <c r="A152" s="43" t="s">
        <v>224</v>
      </c>
      <c r="D152" s="23"/>
      <c r="E152" s="23"/>
      <c r="F152" s="23"/>
      <c r="G152" s="23"/>
      <c r="H152" s="23"/>
      <c r="I152" s="23"/>
      <c r="J152" s="23"/>
      <c r="K152" s="24"/>
      <c r="L152" s="24"/>
      <c r="M152" s="24"/>
    </row>
    <row r="153" spans="1:18" outlineLevel="1" x14ac:dyDescent="0.25">
      <c r="D153" s="23"/>
      <c r="E153" s="23"/>
      <c r="F153" s="23"/>
      <c r="G153" s="23"/>
      <c r="H153" s="23"/>
      <c r="I153" s="23"/>
      <c r="J153" s="23"/>
      <c r="K153" s="24"/>
      <c r="L153" s="24"/>
      <c r="M153" s="24"/>
    </row>
    <row r="154" spans="1:18" outlineLevel="1" x14ac:dyDescent="0.25">
      <c r="B154" s="6" t="s">
        <v>119</v>
      </c>
      <c r="C154" s="6" t="s">
        <v>61</v>
      </c>
      <c r="D154" s="39" t="str">
        <f>"Variant"&amp;" "&amp;$A$17</f>
        <v>Variant 2a</v>
      </c>
      <c r="E154" s="39" t="str">
        <f>"Variant"&amp;" "&amp;$A$18</f>
        <v>Variant 2b</v>
      </c>
      <c r="F154" s="225" t="s">
        <v>32</v>
      </c>
      <c r="G154" s="225"/>
      <c r="H154" s="225"/>
      <c r="I154" s="225"/>
      <c r="J154" s="225"/>
      <c r="K154" s="225"/>
      <c r="L154" s="225" t="s">
        <v>33</v>
      </c>
      <c r="M154" s="225"/>
      <c r="N154" s="225"/>
      <c r="O154" s="225"/>
      <c r="P154" s="225"/>
      <c r="Q154" s="225"/>
      <c r="R154" s="225"/>
    </row>
    <row r="155" spans="1:18" ht="14.45" customHeight="1" outlineLevel="1" x14ac:dyDescent="0.25">
      <c r="B155" s="5" t="s">
        <v>119</v>
      </c>
      <c r="C155" s="5" t="s">
        <v>120</v>
      </c>
      <c r="D155" s="125" t="s">
        <v>225</v>
      </c>
      <c r="E155" s="125" t="s">
        <v>226</v>
      </c>
      <c r="F155" s="226" t="s">
        <v>471</v>
      </c>
      <c r="G155" s="226"/>
      <c r="H155" s="226"/>
      <c r="I155" s="226"/>
      <c r="J155" s="226"/>
      <c r="K155" s="226"/>
      <c r="L155" s="226"/>
      <c r="M155" s="226"/>
      <c r="N155" s="226"/>
      <c r="O155" s="226"/>
      <c r="P155" s="226"/>
      <c r="Q155" s="226"/>
      <c r="R155" s="226"/>
    </row>
    <row r="156" spans="1:18" ht="14.45" customHeight="1" outlineLevel="1" x14ac:dyDescent="0.25">
      <c r="D156" s="36"/>
      <c r="E156" s="36"/>
    </row>
    <row r="157" spans="1:18" ht="14.45" customHeight="1" outlineLevel="1" x14ac:dyDescent="0.25">
      <c r="B157" s="6" t="s">
        <v>124</v>
      </c>
      <c r="C157" s="6" t="s">
        <v>61</v>
      </c>
      <c r="D157" s="39" t="str">
        <f>"Variant"&amp;" "&amp;$A$17</f>
        <v>Variant 2a</v>
      </c>
      <c r="E157" s="39" t="str">
        <f>"Variant"&amp;" "&amp;$A$18</f>
        <v>Variant 2b</v>
      </c>
      <c r="F157" s="225" t="s">
        <v>32</v>
      </c>
      <c r="G157" s="225"/>
      <c r="H157" s="225"/>
      <c r="I157" s="225"/>
      <c r="J157" s="225"/>
      <c r="K157" s="225"/>
      <c r="L157" s="225" t="s">
        <v>33</v>
      </c>
      <c r="M157" s="225"/>
      <c r="N157" s="225"/>
      <c r="O157" s="225"/>
      <c r="P157" s="225"/>
      <c r="Q157" s="225"/>
      <c r="R157" s="225"/>
    </row>
    <row r="158" spans="1:18" ht="14.45" customHeight="1" outlineLevel="1" x14ac:dyDescent="0.25">
      <c r="B158" s="5" t="s">
        <v>125</v>
      </c>
      <c r="C158" s="5" t="s">
        <v>35</v>
      </c>
      <c r="D158" s="106">
        <f>_xlfn.XLOOKUP(D$155,'Cons group &amp; variant assumption'!$C$6:$G$6,'Cons group &amp; variant assumption'!$C7:$G7)</f>
        <v>7286.3490000000002</v>
      </c>
      <c r="E158" s="106">
        <f>_xlfn.XLOOKUP(E$155,'Cons group &amp; variant assumption'!$C$6:$G$6,'Cons group &amp; variant assumption'!$C7:$G7)</f>
        <v>7286.3490000000002</v>
      </c>
      <c r="F158" s="226" t="s">
        <v>161</v>
      </c>
      <c r="G158" s="226"/>
      <c r="H158" s="226"/>
      <c r="I158" s="226"/>
      <c r="J158" s="226"/>
      <c r="K158" s="226"/>
      <c r="L158" s="226" t="s">
        <v>462</v>
      </c>
      <c r="M158" s="226"/>
      <c r="N158" s="226"/>
      <c r="O158" s="226"/>
      <c r="P158" s="226"/>
      <c r="Q158" s="226"/>
      <c r="R158" s="226"/>
    </row>
    <row r="159" spans="1:18" ht="28.9" customHeight="1" outlineLevel="1" x14ac:dyDescent="0.25">
      <c r="B159" s="5" t="s">
        <v>127</v>
      </c>
      <c r="C159" s="5" t="s">
        <v>35</v>
      </c>
      <c r="D159" s="106">
        <f>_xlfn.XLOOKUP(D$155,'Cons group &amp; variant assumption'!$C$6:$G$6,'Cons group &amp; variant assumption'!$C8:$G8)</f>
        <v>4929.3615</v>
      </c>
      <c r="E159" s="106">
        <f>_xlfn.XLOOKUP(E$155,'Cons group &amp; variant assumption'!$C$6:$G$6,'Cons group &amp; variant assumption'!$C8:$G8)</f>
        <v>4929.3615</v>
      </c>
      <c r="F159" s="226" t="s">
        <v>128</v>
      </c>
      <c r="G159" s="226"/>
      <c r="H159" s="226"/>
      <c r="I159" s="226"/>
      <c r="J159" s="226"/>
      <c r="K159" s="226"/>
      <c r="L159" s="226" t="s">
        <v>463</v>
      </c>
      <c r="M159" s="226"/>
      <c r="N159" s="226"/>
      <c r="O159" s="226"/>
      <c r="P159" s="226"/>
      <c r="Q159" s="226"/>
      <c r="R159" s="226"/>
    </row>
    <row r="160" spans="1:18" ht="14.45" customHeight="1" outlineLevel="1" x14ac:dyDescent="0.25">
      <c r="D160" s="36"/>
      <c r="E160" s="36"/>
    </row>
    <row r="161" spans="1:18" outlineLevel="1" x14ac:dyDescent="0.25">
      <c r="B161" s="6" t="s">
        <v>227</v>
      </c>
      <c r="C161" s="6" t="s">
        <v>61</v>
      </c>
      <c r="D161" s="39" t="s">
        <v>133</v>
      </c>
      <c r="E161" s="225" t="s">
        <v>32</v>
      </c>
      <c r="F161" s="225"/>
      <c r="G161" s="225"/>
      <c r="H161" s="225"/>
      <c r="I161" s="225"/>
      <c r="J161" s="225"/>
      <c r="K161" s="225"/>
      <c r="L161" s="225" t="s">
        <v>33</v>
      </c>
      <c r="M161" s="225"/>
      <c r="N161" s="225"/>
      <c r="O161" s="225"/>
      <c r="P161" s="225"/>
      <c r="Q161" s="225"/>
      <c r="R161" s="225"/>
    </row>
    <row r="162" spans="1:18" ht="29.1" customHeight="1" outlineLevel="1" x14ac:dyDescent="0.25">
      <c r="B162" s="42" t="s">
        <v>136</v>
      </c>
      <c r="C162" s="5" t="s">
        <v>69</v>
      </c>
      <c r="D162" s="56">
        <f>'Distributor assumptions'!$C$12</f>
        <v>0.8745123537061118</v>
      </c>
      <c r="E162" s="226" t="s">
        <v>137</v>
      </c>
      <c r="F162" s="226"/>
      <c r="G162" s="226"/>
      <c r="H162" s="226"/>
      <c r="I162" s="226"/>
      <c r="J162" s="226"/>
      <c r="K162" s="226"/>
      <c r="L162" s="226" t="s">
        <v>138</v>
      </c>
      <c r="M162" s="226"/>
      <c r="N162" s="226"/>
      <c r="O162" s="226"/>
      <c r="P162" s="226"/>
      <c r="Q162" s="226"/>
      <c r="R162" s="226"/>
    </row>
    <row r="163" spans="1:18" outlineLevel="1" x14ac:dyDescent="0.25"/>
    <row r="164" spans="1:18" outlineLevel="1" x14ac:dyDescent="0.25">
      <c r="A164" s="43" t="s">
        <v>228</v>
      </c>
      <c r="B164" s="8"/>
      <c r="H164" s="8"/>
    </row>
    <row r="165" spans="1:18" outlineLevel="1" x14ac:dyDescent="0.25">
      <c r="B165" s="8"/>
      <c r="H165" s="8"/>
    </row>
    <row r="166" spans="1:18" outlineLevel="1" x14ac:dyDescent="0.25">
      <c r="B166" s="256" t="s">
        <v>473</v>
      </c>
      <c r="C166" s="256"/>
      <c r="D166" s="256"/>
      <c r="E166" s="256"/>
      <c r="F166" s="256"/>
      <c r="G166" s="256"/>
      <c r="H166" s="256"/>
      <c r="I166" s="256"/>
      <c r="J166" s="256"/>
      <c r="K166" s="256"/>
      <c r="L166" s="256"/>
      <c r="M166" s="256"/>
      <c r="N166" s="256"/>
      <c r="O166" s="256"/>
      <c r="P166" s="256"/>
      <c r="Q166" s="256"/>
      <c r="R166" s="256"/>
    </row>
    <row r="167" spans="1:18" outlineLevel="1" x14ac:dyDescent="0.25">
      <c r="B167" s="8"/>
      <c r="H167" s="8"/>
    </row>
    <row r="168" spans="1:18" outlineLevel="1" x14ac:dyDescent="0.25">
      <c r="B168" s="7" t="s">
        <v>28</v>
      </c>
      <c r="C168" s="151" t="str">
        <f>Sc2_variant</f>
        <v>Variant 2a</v>
      </c>
      <c r="E168" s="120" t="s">
        <v>230</v>
      </c>
      <c r="H168" s="165" t="str">
        <f>_xlfn.XLOOKUP(C168,$D$154:$E$154,$D$155:$E$155)</f>
        <v>Variant 2a customer</v>
      </c>
    </row>
    <row r="169" spans="1:18" outlineLevel="1" x14ac:dyDescent="0.25">
      <c r="B169" s="8"/>
    </row>
    <row r="170" spans="1:18" outlineLevel="1" x14ac:dyDescent="0.25">
      <c r="B170" s="8" t="str">
        <f>"IDR calculation"&amp;" for "&amp;$C$168</f>
        <v>IDR calculation for Variant 2a</v>
      </c>
      <c r="H170" s="8"/>
    </row>
    <row r="171" spans="1:18" outlineLevel="1" x14ac:dyDescent="0.25">
      <c r="B171" s="8"/>
      <c r="H171" s="8"/>
    </row>
    <row r="172" spans="1:18" outlineLevel="2" x14ac:dyDescent="0.25">
      <c r="A172" s="4"/>
      <c r="B172" s="6" t="s">
        <v>125</v>
      </c>
      <c r="C172" s="6" t="s">
        <v>61</v>
      </c>
      <c r="D172" s="39" t="str">
        <f>C168</f>
        <v>Variant 2a</v>
      </c>
      <c r="E172" s="225" t="s">
        <v>32</v>
      </c>
      <c r="F172" s="225"/>
      <c r="G172" s="225"/>
      <c r="H172" s="225"/>
      <c r="I172" s="225"/>
      <c r="J172" s="225"/>
      <c r="K172" s="225"/>
      <c r="L172" s="225" t="s">
        <v>33</v>
      </c>
      <c r="M172" s="225"/>
      <c r="N172" s="225"/>
      <c r="O172" s="225"/>
      <c r="P172" s="225"/>
      <c r="Q172" s="225"/>
      <c r="R172" s="225"/>
    </row>
    <row r="173" spans="1:18" ht="14.45" customHeight="1" outlineLevel="2" x14ac:dyDescent="0.25">
      <c r="A173" s="4"/>
      <c r="B173" s="5" t="s">
        <v>125</v>
      </c>
      <c r="C173" s="5" t="s">
        <v>35</v>
      </c>
      <c r="D173" s="26">
        <f>_xlfn.XLOOKUP($C$168,$D$157:$E$157,$D$158:$E$158)</f>
        <v>7286.3490000000002</v>
      </c>
      <c r="E173" s="226" t="s">
        <v>161</v>
      </c>
      <c r="F173" s="226"/>
      <c r="G173" s="226"/>
      <c r="H173" s="226"/>
      <c r="I173" s="226"/>
      <c r="J173" s="226"/>
      <c r="K173" s="226"/>
      <c r="L173" s="226" t="s">
        <v>462</v>
      </c>
      <c r="M173" s="226"/>
      <c r="N173" s="226"/>
      <c r="O173" s="226"/>
      <c r="P173" s="226"/>
      <c r="Q173" s="226"/>
      <c r="R173" s="226"/>
    </row>
    <row r="174" spans="1:18" ht="29.1" customHeight="1" outlineLevel="2" x14ac:dyDescent="0.25">
      <c r="A174" s="156"/>
      <c r="B174" s="42" t="s">
        <v>136</v>
      </c>
      <c r="C174" s="5" t="s">
        <v>69</v>
      </c>
      <c r="D174" s="64">
        <f>D162</f>
        <v>0.8745123537061118</v>
      </c>
      <c r="E174" s="226" t="s">
        <v>137</v>
      </c>
      <c r="F174" s="226"/>
      <c r="G174" s="226"/>
      <c r="H174" s="226"/>
      <c r="I174" s="226"/>
      <c r="J174" s="226"/>
      <c r="K174" s="226"/>
      <c r="L174" s="226" t="s">
        <v>138</v>
      </c>
      <c r="M174" s="226"/>
      <c r="N174" s="226"/>
      <c r="O174" s="226"/>
      <c r="P174" s="226"/>
      <c r="Q174" s="226"/>
      <c r="R174" s="226"/>
    </row>
    <row r="175" spans="1:18" outlineLevel="2" x14ac:dyDescent="0.25">
      <c r="A175" s="156" t="s">
        <v>162</v>
      </c>
      <c r="B175" s="6" t="s">
        <v>163</v>
      </c>
      <c r="C175" s="5" t="s">
        <v>35</v>
      </c>
      <c r="D175" s="65">
        <f>D173*D174</f>
        <v>6372.0022139141738</v>
      </c>
      <c r="E175" s="226" t="s">
        <v>164</v>
      </c>
      <c r="F175" s="226"/>
      <c r="G175" s="226"/>
      <c r="H175" s="226"/>
      <c r="I175" s="226"/>
      <c r="J175" s="226"/>
      <c r="K175" s="226"/>
      <c r="L175" s="226"/>
      <c r="M175" s="226"/>
      <c r="N175" s="226"/>
      <c r="O175" s="226"/>
      <c r="P175" s="226"/>
      <c r="Q175" s="226"/>
      <c r="R175" s="226"/>
    </row>
    <row r="176" spans="1:18" outlineLevel="2" x14ac:dyDescent="0.25">
      <c r="A176" s="156"/>
    </row>
    <row r="177" spans="1:42" outlineLevel="2" x14ac:dyDescent="0.25">
      <c r="A177" s="156"/>
      <c r="B177" s="6" t="s">
        <v>165</v>
      </c>
      <c r="C177" s="6" t="s">
        <v>61</v>
      </c>
      <c r="D177" s="225" t="s">
        <v>32</v>
      </c>
      <c r="E177" s="225"/>
      <c r="F177" s="225"/>
      <c r="G177" s="225"/>
      <c r="H177" s="225" t="s">
        <v>33</v>
      </c>
      <c r="I177" s="225"/>
      <c r="J177" s="225"/>
      <c r="K177" s="225"/>
      <c r="L177" s="6">
        <v>0</v>
      </c>
      <c r="M177" s="6">
        <v>1</v>
      </c>
      <c r="N177" s="6">
        <v>2</v>
      </c>
      <c r="O177" s="6">
        <v>3</v>
      </c>
      <c r="P177" s="6">
        <v>4</v>
      </c>
      <c r="Q177" s="6">
        <v>5</v>
      </c>
      <c r="R177" s="6">
        <v>6</v>
      </c>
      <c r="S177" s="6">
        <v>7</v>
      </c>
      <c r="T177" s="6">
        <v>8</v>
      </c>
      <c r="U177" s="6">
        <v>9</v>
      </c>
      <c r="V177" s="6">
        <v>10</v>
      </c>
      <c r="W177" s="6">
        <v>11</v>
      </c>
      <c r="X177" s="6">
        <v>12</v>
      </c>
      <c r="Y177" s="6">
        <v>13</v>
      </c>
      <c r="Z177" s="6">
        <v>14</v>
      </c>
      <c r="AA177" s="6">
        <v>15</v>
      </c>
      <c r="AB177" s="6">
        <v>16</v>
      </c>
      <c r="AC177" s="6">
        <v>17</v>
      </c>
      <c r="AD177" s="6">
        <v>18</v>
      </c>
      <c r="AE177" s="6">
        <v>19</v>
      </c>
      <c r="AF177" s="6">
        <v>20</v>
      </c>
      <c r="AG177" s="6">
        <v>21</v>
      </c>
      <c r="AH177" s="6">
        <v>22</v>
      </c>
      <c r="AI177" s="6">
        <v>23</v>
      </c>
      <c r="AJ177" s="6">
        <v>24</v>
      </c>
      <c r="AK177" s="6">
        <v>25</v>
      </c>
      <c r="AL177" s="6">
        <v>26</v>
      </c>
      <c r="AM177" s="6">
        <v>27</v>
      </c>
      <c r="AN177" s="6">
        <v>28</v>
      </c>
      <c r="AO177" s="6">
        <v>29</v>
      </c>
      <c r="AP177" s="6">
        <v>30</v>
      </c>
    </row>
    <row r="178" spans="1:42" outlineLevel="2" x14ac:dyDescent="0.25">
      <c r="A178" s="156"/>
      <c r="B178" s="5" t="s">
        <v>140</v>
      </c>
      <c r="C178" s="5" t="s">
        <v>141</v>
      </c>
      <c r="D178" s="223" t="s">
        <v>193</v>
      </c>
      <c r="E178" s="223"/>
      <c r="F178" s="223"/>
      <c r="G178" s="223"/>
      <c r="H178" s="223"/>
      <c r="I178" s="223"/>
      <c r="J178" s="223"/>
      <c r="K178" s="223"/>
      <c r="L178" s="77">
        <f>L70</f>
        <v>2026</v>
      </c>
      <c r="M178" s="77">
        <v>2027</v>
      </c>
      <c r="N178" s="77">
        <v>2028</v>
      </c>
      <c r="O178" s="77">
        <v>2029</v>
      </c>
      <c r="P178" s="77">
        <v>2030</v>
      </c>
      <c r="Q178" s="77">
        <v>2031</v>
      </c>
      <c r="R178" s="77">
        <v>2032</v>
      </c>
      <c r="S178" s="77">
        <v>2033</v>
      </c>
      <c r="T178" s="77">
        <v>2034</v>
      </c>
      <c r="U178" s="77">
        <v>2035</v>
      </c>
      <c r="V178" s="77">
        <v>2036</v>
      </c>
      <c r="W178" s="77">
        <v>2037</v>
      </c>
      <c r="X178" s="77">
        <v>2038</v>
      </c>
      <c r="Y178" s="77">
        <v>2039</v>
      </c>
      <c r="Z178" s="77">
        <v>2040</v>
      </c>
      <c r="AA178" s="77">
        <v>2041</v>
      </c>
      <c r="AB178" s="77">
        <v>2042</v>
      </c>
      <c r="AC178" s="77">
        <v>2043</v>
      </c>
      <c r="AD178" s="77">
        <v>2044</v>
      </c>
      <c r="AE178" s="77">
        <v>2045</v>
      </c>
      <c r="AF178" s="77">
        <v>2046</v>
      </c>
      <c r="AG178" s="77">
        <v>2047</v>
      </c>
      <c r="AH178" s="77">
        <v>2048</v>
      </c>
      <c r="AI178" s="77">
        <v>2049</v>
      </c>
      <c r="AJ178" s="77">
        <v>2050</v>
      </c>
      <c r="AK178" s="77">
        <v>2051</v>
      </c>
      <c r="AL178" s="77">
        <v>2052</v>
      </c>
      <c r="AM178" s="77">
        <v>2053</v>
      </c>
      <c r="AN178" s="77">
        <v>2054</v>
      </c>
      <c r="AO178" s="77">
        <v>2055</v>
      </c>
      <c r="AP178" s="77">
        <v>2056</v>
      </c>
    </row>
    <row r="179" spans="1:42" ht="14.45" customHeight="1" outlineLevel="2" x14ac:dyDescent="0.25">
      <c r="A179" s="156" t="s">
        <v>166</v>
      </c>
      <c r="B179" s="5" t="s">
        <v>143</v>
      </c>
      <c r="C179" s="5" t="s">
        <v>144</v>
      </c>
      <c r="D179" s="223" t="s">
        <v>167</v>
      </c>
      <c r="E179" s="223"/>
      <c r="F179" s="223"/>
      <c r="G179" s="223"/>
      <c r="H179" s="223" t="s">
        <v>459</v>
      </c>
      <c r="I179" s="223"/>
      <c r="J179" s="223"/>
      <c r="K179" s="223"/>
      <c r="L179" s="63">
        <f t="shared" ref="L179:AP179" si="16">IF(L$177&lt;=_xlfn.XLOOKUP(Sc2_variant,$D$63:$E$63,$D$64:$E$64),L$71,0)</f>
        <v>1</v>
      </c>
      <c r="M179" s="63">
        <f t="shared" si="16"/>
        <v>0.95574882920768423</v>
      </c>
      <c r="N179" s="63">
        <f t="shared" si="16"/>
        <v>0.91345582453185914</v>
      </c>
      <c r="O179" s="63">
        <f t="shared" si="16"/>
        <v>0.87303433482926418</v>
      </c>
      <c r="P179" s="63">
        <f t="shared" si="16"/>
        <v>0.83440154337117856</v>
      </c>
      <c r="Q179" s="63">
        <f t="shared" si="16"/>
        <v>0.79747829816608862</v>
      </c>
      <c r="R179" s="63">
        <f t="shared" si="16"/>
        <v>0.76218894979077567</v>
      </c>
      <c r="S179" s="63">
        <f t="shared" si="16"/>
        <v>0.72846119639756823</v>
      </c>
      <c r="T179" s="63">
        <f t="shared" si="16"/>
        <v>0.69622593558020462</v>
      </c>
      <c r="U179" s="63">
        <f t="shared" si="16"/>
        <v>0.66541712279480525</v>
      </c>
      <c r="V179" s="63">
        <f t="shared" si="16"/>
        <v>0.63597163604588081</v>
      </c>
      <c r="W179" s="63">
        <f t="shared" si="16"/>
        <v>0.60782914656014608</v>
      </c>
      <c r="X179" s="63">
        <f t="shared" si="16"/>
        <v>0.58093199518316552</v>
      </c>
      <c r="Y179" s="63">
        <f t="shared" si="16"/>
        <v>0.55522507424559442</v>
      </c>
      <c r="Z179" s="63">
        <f t="shared" si="16"/>
        <v>0.53065571465697647</v>
      </c>
      <c r="AA179" s="63">
        <f t="shared" si="16"/>
        <v>0.50717357799577223</v>
      </c>
      <c r="AB179" s="63">
        <f t="shared" si="16"/>
        <v>0</v>
      </c>
      <c r="AC179" s="63">
        <f t="shared" si="16"/>
        <v>0</v>
      </c>
      <c r="AD179" s="63">
        <f t="shared" si="16"/>
        <v>0</v>
      </c>
      <c r="AE179" s="63">
        <f t="shared" si="16"/>
        <v>0</v>
      </c>
      <c r="AF179" s="63">
        <f t="shared" si="16"/>
        <v>0</v>
      </c>
      <c r="AG179" s="63">
        <f t="shared" si="16"/>
        <v>0</v>
      </c>
      <c r="AH179" s="63">
        <f t="shared" si="16"/>
        <v>0</v>
      </c>
      <c r="AI179" s="63">
        <f t="shared" si="16"/>
        <v>0</v>
      </c>
      <c r="AJ179" s="63">
        <f t="shared" si="16"/>
        <v>0</v>
      </c>
      <c r="AK179" s="63">
        <f t="shared" si="16"/>
        <v>0</v>
      </c>
      <c r="AL179" s="63">
        <f t="shared" si="16"/>
        <v>0</v>
      </c>
      <c r="AM179" s="63">
        <f t="shared" si="16"/>
        <v>0</v>
      </c>
      <c r="AN179" s="63">
        <f t="shared" si="16"/>
        <v>0</v>
      </c>
      <c r="AO179" s="63">
        <f t="shared" si="16"/>
        <v>0</v>
      </c>
      <c r="AP179" s="63">
        <f t="shared" si="16"/>
        <v>0</v>
      </c>
    </row>
    <row r="180" spans="1:42" ht="29.1" customHeight="1" outlineLevel="2" x14ac:dyDescent="0.25">
      <c r="A180" s="156" t="s">
        <v>168</v>
      </c>
      <c r="B180" s="5" t="s">
        <v>291</v>
      </c>
      <c r="C180" s="5" t="s">
        <v>144</v>
      </c>
      <c r="D180" s="223" t="s">
        <v>169</v>
      </c>
      <c r="E180" s="223"/>
      <c r="F180" s="223"/>
      <c r="G180" s="223"/>
      <c r="H180" s="223" t="s">
        <v>292</v>
      </c>
      <c r="I180" s="223"/>
      <c r="J180" s="223"/>
      <c r="K180" s="223"/>
      <c r="L180" s="63">
        <f>IF(L$177&lt;=_xlfn.XLOOKUP(Sc2_variant,$D$63:$E$63,$D$64:$E$64),'Distributor assumptions'!K$15,0)</f>
        <v>1</v>
      </c>
      <c r="M180" s="63">
        <f>IF(M$177&lt;=_xlfn.XLOOKUP(Sc2_variant,$D$63:$E$63,$D$64:$E$64),'Distributor assumptions'!L$15,0)</f>
        <v>1.1000000000000001</v>
      </c>
      <c r="N180" s="63">
        <f>IF(N$177&lt;=_xlfn.XLOOKUP(Sc2_variant,$D$63:$E$63,$D$64:$E$64),'Distributor assumptions'!M$15,0)</f>
        <v>1.2</v>
      </c>
      <c r="O180" s="63">
        <f>IF(O$177&lt;=_xlfn.XLOOKUP(Sc2_variant,$D$63:$E$63,$D$64:$E$64),'Distributor assumptions'!N$15,0)</f>
        <v>1.32</v>
      </c>
      <c r="P180" s="63">
        <f>IF(P$177&lt;=_xlfn.XLOOKUP(Sc2_variant,$D$63:$E$63,$D$64:$E$64),'Distributor assumptions'!O$15,0)</f>
        <v>1.44</v>
      </c>
      <c r="Q180" s="63">
        <f>IF(Q$177&lt;=_xlfn.XLOOKUP(Sc2_variant,$D$63:$E$63,$D$64:$E$64),'Distributor assumptions'!P$15,0)</f>
        <v>1.44</v>
      </c>
      <c r="R180" s="63">
        <f>IF(R$177&lt;=_xlfn.XLOOKUP(Sc2_variant,$D$63:$E$63,$D$64:$E$64),'Distributor assumptions'!Q$15,0)</f>
        <v>1.44</v>
      </c>
      <c r="S180" s="63">
        <f>IF(S$177&lt;=_xlfn.XLOOKUP(Sc2_variant,$D$63:$E$63,$D$64:$E$64),'Distributor assumptions'!R$15,0)</f>
        <v>1.44</v>
      </c>
      <c r="T180" s="63">
        <f>IF(T$177&lt;=_xlfn.XLOOKUP(Sc2_variant,$D$63:$E$63,$D$64:$E$64),'Distributor assumptions'!S$15,0)</f>
        <v>1.44</v>
      </c>
      <c r="U180" s="63">
        <f>IF(U$177&lt;=_xlfn.XLOOKUP(Sc2_variant,$D$63:$E$63,$D$64:$E$64),'Distributor assumptions'!T$15,0)</f>
        <v>1.44</v>
      </c>
      <c r="V180" s="63">
        <f>IF(V$177&lt;=_xlfn.XLOOKUP(Sc2_variant,$D$63:$E$63,$D$64:$E$64),'Distributor assumptions'!U$15,0)</f>
        <v>1.44</v>
      </c>
      <c r="W180" s="63">
        <f>IF(W$177&lt;=_xlfn.XLOOKUP(Sc2_variant,$D$63:$E$63,$D$64:$E$64),'Distributor assumptions'!V$15,0)</f>
        <v>1.44</v>
      </c>
      <c r="X180" s="63">
        <f>IF(X$177&lt;=_xlfn.XLOOKUP(Sc2_variant,$D$63:$E$63,$D$64:$E$64),'Distributor assumptions'!W$15,0)</f>
        <v>1.44</v>
      </c>
      <c r="Y180" s="63">
        <f>IF(Y$177&lt;=_xlfn.XLOOKUP(Sc2_variant,$D$63:$E$63,$D$64:$E$64),'Distributor assumptions'!X$15,0)</f>
        <v>1.44</v>
      </c>
      <c r="Z180" s="63">
        <f>IF(Z$177&lt;=_xlfn.XLOOKUP(Sc2_variant,$D$63:$E$63,$D$64:$E$64),'Distributor assumptions'!Y$15,0)</f>
        <v>1.44</v>
      </c>
      <c r="AA180" s="63">
        <f>IF(AA$177&lt;=_xlfn.XLOOKUP(Sc2_variant,$D$63:$E$63,$D$64:$E$64),'Distributor assumptions'!Z$15,0)</f>
        <v>1.44</v>
      </c>
      <c r="AB180" s="63">
        <f>IF(AB$177&lt;=_xlfn.XLOOKUP(Sc2_variant,$D$63:$E$63,$D$64:$E$64),'Distributor assumptions'!AA$15,0)</f>
        <v>0</v>
      </c>
      <c r="AC180" s="63">
        <f>IF(AC$177&lt;=_xlfn.XLOOKUP(Sc2_variant,$D$63:$E$63,$D$64:$E$64),'Distributor assumptions'!AB$15,0)</f>
        <v>0</v>
      </c>
      <c r="AD180" s="63">
        <f>IF(AD$177&lt;=_xlfn.XLOOKUP(Sc2_variant,$D$63:$E$63,$D$64:$E$64),'Distributor assumptions'!AC$15,0)</f>
        <v>0</v>
      </c>
      <c r="AE180" s="63">
        <f>IF(AE$177&lt;=_xlfn.XLOOKUP(Sc2_variant,$D$63:$E$63,$D$64:$E$64),'Distributor assumptions'!AD$15,0)</f>
        <v>0</v>
      </c>
      <c r="AF180" s="63">
        <f>IF(AF$177&lt;=_xlfn.XLOOKUP(Sc2_variant,$D$63:$E$63,$D$64:$E$64),'Distributor assumptions'!AE$15,0)</f>
        <v>0</v>
      </c>
      <c r="AG180" s="63">
        <f>IF(AG$177&lt;=_xlfn.XLOOKUP(Sc2_variant,$D$63:$E$63,$D$64:$E$64),'Distributor assumptions'!AF$15,0)</f>
        <v>0</v>
      </c>
      <c r="AH180" s="63">
        <f>IF(AH$177&lt;=_xlfn.XLOOKUP(Sc2_variant,$D$63:$E$63,$D$64:$E$64),'Distributor assumptions'!AG$15,0)</f>
        <v>0</v>
      </c>
      <c r="AI180" s="63">
        <f>IF(AI$177&lt;=_xlfn.XLOOKUP(Sc2_variant,$D$63:$E$63,$D$64:$E$64),'Distributor assumptions'!AH$15,0)</f>
        <v>0</v>
      </c>
      <c r="AJ180" s="63">
        <f>IF(AJ$177&lt;=_xlfn.XLOOKUP(Sc2_variant,$D$63:$E$63,$D$64:$E$64),'Distributor assumptions'!AI$15,0)</f>
        <v>0</v>
      </c>
      <c r="AK180" s="63">
        <f>IF(AK$177&lt;=_xlfn.XLOOKUP(Sc2_variant,$D$63:$E$63,$D$64:$E$64),'Distributor assumptions'!AJ$15,0)</f>
        <v>0</v>
      </c>
      <c r="AL180" s="63">
        <f>IF(AL$177&lt;=_xlfn.XLOOKUP(Sc2_variant,$D$63:$E$63,$D$64:$E$64),'Distributor assumptions'!AK$15,0)</f>
        <v>0</v>
      </c>
      <c r="AM180" s="63">
        <f>IF(AM$177&lt;=_xlfn.XLOOKUP(Sc2_variant,$D$63:$E$63,$D$64:$E$64),'Distributor assumptions'!AL$15,0)</f>
        <v>0</v>
      </c>
      <c r="AN180" s="63">
        <f>IF(AN$177&lt;=_xlfn.XLOOKUP(Sc2_variant,$D$63:$E$63,$D$64:$E$64),'Distributor assumptions'!AM$15,0)</f>
        <v>0</v>
      </c>
      <c r="AO180" s="63">
        <f>IF(AO$177&lt;=_xlfn.XLOOKUP(Sc2_variant,$D$63:$E$63,$D$64:$E$64),'Distributor assumptions'!AN$15,0)</f>
        <v>0</v>
      </c>
      <c r="AP180" s="63">
        <f>IF(AP$177&lt;=_xlfn.XLOOKUP(Sc2_variant,$D$63:$E$63,$D$64:$E$64),'Distributor assumptions'!AO$15,0)</f>
        <v>0</v>
      </c>
    </row>
    <row r="181" spans="1:42" ht="14.45" customHeight="1" outlineLevel="2" x14ac:dyDescent="0.25">
      <c r="A181" s="156" t="s">
        <v>170</v>
      </c>
      <c r="B181" s="5" t="s">
        <v>293</v>
      </c>
      <c r="C181" s="5" t="s">
        <v>144</v>
      </c>
      <c r="D181" s="223" t="s">
        <v>148</v>
      </c>
      <c r="E181" s="223"/>
      <c r="F181" s="223"/>
      <c r="G181" s="223"/>
      <c r="H181" s="223" t="s">
        <v>294</v>
      </c>
      <c r="I181" s="223"/>
      <c r="J181" s="223"/>
      <c r="K181" s="223"/>
      <c r="L181" s="63">
        <f>IF(L$177&lt;=_xlfn.XLOOKUP(Sc2_variant,$D$63:$E$63,$D$64:$E$64),_xlfn.XLOOKUP($H$168,'Cons group &amp; variant assumption'!$A$75:$A$83,'Cons group &amp; variant assumption'!O$75:O$83),0)</f>
        <v>1</v>
      </c>
      <c r="M181" s="63">
        <f>IF(M$177&lt;=_xlfn.XLOOKUP(Sc2_variant,$D$63:$E$63,$D$64:$E$64),_xlfn.XLOOKUP($H$168,'Cons group &amp; variant assumption'!$A$75:$A$83,'Cons group &amp; variant assumption'!P$75:P$83),0)</f>
        <v>1</v>
      </c>
      <c r="N181" s="63">
        <f>IF(N$177&lt;=_xlfn.XLOOKUP(Sc2_variant,$D$63:$E$63,$D$64:$E$64),_xlfn.XLOOKUP($H$168,'Cons group &amp; variant assumption'!$A$75:$A$83,'Cons group &amp; variant assumption'!Q$75:Q$83),0)</f>
        <v>1</v>
      </c>
      <c r="O181" s="63">
        <f>IF(O$177&lt;=_xlfn.XLOOKUP(Sc2_variant,$D$63:$E$63,$D$64:$E$64),_xlfn.XLOOKUP($H$168,'Cons group &amp; variant assumption'!$A$75:$A$83,'Cons group &amp; variant assumption'!R$75:R$83),0)</f>
        <v>1</v>
      </c>
      <c r="P181" s="63">
        <f>IF(P$177&lt;=_xlfn.XLOOKUP(Sc2_variant,$D$63:$E$63,$D$64:$E$64),_xlfn.XLOOKUP($H$168,'Cons group &amp; variant assumption'!$A$75:$A$83,'Cons group &amp; variant assumption'!S$75:S$83),0)</f>
        <v>1</v>
      </c>
      <c r="Q181" s="63">
        <f>IF(Q$177&lt;=_xlfn.XLOOKUP(Sc2_variant,$D$63:$E$63,$D$64:$E$64),_xlfn.XLOOKUP($H$168,'Cons group &amp; variant assumption'!$A$75:$A$83,'Cons group &amp; variant assumption'!T$75:T$83),0)</f>
        <v>1</v>
      </c>
      <c r="R181" s="63">
        <f>IF(R$177&lt;=_xlfn.XLOOKUP(Sc2_variant,$D$63:$E$63,$D$64:$E$64),_xlfn.XLOOKUP($H$168,'Cons group &amp; variant assumption'!$A$75:$A$83,'Cons group &amp; variant assumption'!U$75:U$83),0)</f>
        <v>1</v>
      </c>
      <c r="S181" s="63">
        <f>IF(S$177&lt;=_xlfn.XLOOKUP(Sc2_variant,$D$63:$E$63,$D$64:$E$64),_xlfn.XLOOKUP($H$168,'Cons group &amp; variant assumption'!$A$75:$A$83,'Cons group &amp; variant assumption'!V$75:V$83),0)</f>
        <v>1</v>
      </c>
      <c r="T181" s="63">
        <f>IF(T$177&lt;=_xlfn.XLOOKUP(Sc2_variant,$D$63:$E$63,$D$64:$E$64),_xlfn.XLOOKUP($H$168,'Cons group &amp; variant assumption'!$A$75:$A$83,'Cons group &amp; variant assumption'!W$75:W$83),0)</f>
        <v>1</v>
      </c>
      <c r="U181" s="63">
        <f>IF(U$177&lt;=_xlfn.XLOOKUP(Sc2_variant,$D$63:$E$63,$D$64:$E$64),_xlfn.XLOOKUP($H$168,'Cons group &amp; variant assumption'!$A$75:$A$83,'Cons group &amp; variant assumption'!X$75:X$83),0)</f>
        <v>1</v>
      </c>
      <c r="V181" s="63">
        <f>IF(V$177&lt;=_xlfn.XLOOKUP(Sc2_variant,$D$63:$E$63,$D$64:$E$64),_xlfn.XLOOKUP($H$168,'Cons group &amp; variant assumption'!$A$75:$A$83,'Cons group &amp; variant assumption'!Y$75:Y$83),0)</f>
        <v>1</v>
      </c>
      <c r="W181" s="63">
        <f>IF(W$177&lt;=_xlfn.XLOOKUP(Sc2_variant,$D$63:$E$63,$D$64:$E$64),_xlfn.XLOOKUP($H$168,'Cons group &amp; variant assumption'!$A$75:$A$83,'Cons group &amp; variant assumption'!Z$75:Z$83),0)</f>
        <v>1</v>
      </c>
      <c r="X181" s="63">
        <f>IF(X$177&lt;=_xlfn.XLOOKUP(Sc2_variant,$D$63:$E$63,$D$64:$E$64),_xlfn.XLOOKUP($H$168,'Cons group &amp; variant assumption'!$A$75:$A$83,'Cons group &amp; variant assumption'!AA$75:AA$83),0)</f>
        <v>1</v>
      </c>
      <c r="Y181" s="63">
        <f>IF(Y$177&lt;=_xlfn.XLOOKUP(Sc2_variant,$D$63:$E$63,$D$64:$E$64),_xlfn.XLOOKUP($H$168,'Cons group &amp; variant assumption'!$A$75:$A$83,'Cons group &amp; variant assumption'!AB$75:AB$83),0)</f>
        <v>1</v>
      </c>
      <c r="Z181" s="63">
        <f>IF(Z$177&lt;=_xlfn.XLOOKUP(Sc2_variant,$D$63:$E$63,$D$64:$E$64),_xlfn.XLOOKUP($H$168,'Cons group &amp; variant assumption'!$A$75:$A$83,'Cons group &amp; variant assumption'!AC$75:AC$83),0)</f>
        <v>1</v>
      </c>
      <c r="AA181" s="63">
        <f>IF(AA$177&lt;=_xlfn.XLOOKUP(Sc2_variant,$D$63:$E$63,$D$64:$E$64),_xlfn.XLOOKUP($H$168,'Cons group &amp; variant assumption'!$A$75:$A$83,'Cons group &amp; variant assumption'!AD$75:AD$83),0)</f>
        <v>1</v>
      </c>
      <c r="AB181" s="63">
        <f>IF(AB$177&lt;=_xlfn.XLOOKUP(Sc2_variant,$D$63:$E$63,$D$64:$E$64),_xlfn.XLOOKUP($H$168,'Cons group &amp; variant assumption'!$A$75:$A$83,'Cons group &amp; variant assumption'!AE$75:AE$83),0)</f>
        <v>0</v>
      </c>
      <c r="AC181" s="63">
        <f>IF(AC$177&lt;=_xlfn.XLOOKUP(Sc2_variant,$D$63:$E$63,$D$64:$E$64),_xlfn.XLOOKUP($H$168,'Cons group &amp; variant assumption'!$A$75:$A$83,'Cons group &amp; variant assumption'!AF$75:AF$83),0)</f>
        <v>0</v>
      </c>
      <c r="AD181" s="63">
        <f>IF(AD$177&lt;=_xlfn.XLOOKUP(Sc2_variant,$D$63:$E$63,$D$64:$E$64),_xlfn.XLOOKUP($H$168,'Cons group &amp; variant assumption'!$A$75:$A$83,'Cons group &amp; variant assumption'!AG$75:AG$83),0)</f>
        <v>0</v>
      </c>
      <c r="AE181" s="63">
        <f>IF(AE$177&lt;=_xlfn.XLOOKUP(Sc2_variant,$D$63:$E$63,$D$64:$E$64),_xlfn.XLOOKUP($H$168,'Cons group &amp; variant assumption'!$A$75:$A$83,'Cons group &amp; variant assumption'!AH$75:AH$83),0)</f>
        <v>0</v>
      </c>
      <c r="AF181" s="63">
        <f>IF(AF$177&lt;=_xlfn.XLOOKUP(Sc2_variant,$D$63:$E$63,$D$64:$E$64),_xlfn.XLOOKUP($H$168,'Cons group &amp; variant assumption'!$A$75:$A$83,'Cons group &amp; variant assumption'!AI$75:AI$83),0)</f>
        <v>0</v>
      </c>
      <c r="AG181" s="63">
        <f>IF(AG$177&lt;=_xlfn.XLOOKUP(Sc2_variant,$D$63:$E$63,$D$64:$E$64),_xlfn.XLOOKUP($H$168,'Cons group &amp; variant assumption'!$A$75:$A$83,'Cons group &amp; variant assumption'!AJ$75:AJ$83),0)</f>
        <v>0</v>
      </c>
      <c r="AH181" s="63">
        <f>IF(AH$177&lt;=_xlfn.XLOOKUP(Sc2_variant,$D$63:$E$63,$D$64:$E$64),_xlfn.XLOOKUP($H$168,'Cons group &amp; variant assumption'!$A$75:$A$83,'Cons group &amp; variant assumption'!AK$75:AK$83),0)</f>
        <v>0</v>
      </c>
      <c r="AI181" s="63">
        <f>IF(AI$177&lt;=_xlfn.XLOOKUP(Sc2_variant,$D$63:$E$63,$D$64:$E$64),_xlfn.XLOOKUP($H$168,'Cons group &amp; variant assumption'!$A$75:$A$83,'Cons group &amp; variant assumption'!AL$75:AL$83),0)</f>
        <v>0</v>
      </c>
      <c r="AJ181" s="63">
        <f>IF(AJ$177&lt;=_xlfn.XLOOKUP(Sc2_variant,$D$63:$E$63,$D$64:$E$64),_xlfn.XLOOKUP($H$168,'Cons group &amp; variant assumption'!$A$75:$A$83,'Cons group &amp; variant assumption'!AM$75:AM$83),0)</f>
        <v>0</v>
      </c>
      <c r="AK181" s="63">
        <f>IF(AK$177&lt;=_xlfn.XLOOKUP(Sc2_variant,$D$63:$E$63,$D$64:$E$64),_xlfn.XLOOKUP($H$168,'Cons group &amp; variant assumption'!$A$75:$A$83,'Cons group &amp; variant assumption'!AN$75:AN$83),0)</f>
        <v>0</v>
      </c>
      <c r="AL181" s="63">
        <f>IF(AL$177&lt;=_xlfn.XLOOKUP(Sc2_variant,$D$63:$E$63,$D$64:$E$64),_xlfn.XLOOKUP($H$168,'Cons group &amp; variant assumption'!$A$75:$A$83,'Cons group &amp; variant assumption'!AO$75:AO$83),0)</f>
        <v>0</v>
      </c>
      <c r="AM181" s="63">
        <f>IF(AM$177&lt;=_xlfn.XLOOKUP(Sc2_variant,$D$63:$E$63,$D$64:$E$64),_xlfn.XLOOKUP($H$168,'Cons group &amp; variant assumption'!$A$75:$A$83,'Cons group &amp; variant assumption'!AP$75:AP$83),0)</f>
        <v>0</v>
      </c>
      <c r="AN181" s="63">
        <f>IF(AN$177&lt;=_xlfn.XLOOKUP(Sc2_variant,$D$63:$E$63,$D$64:$E$64),_xlfn.XLOOKUP($H$168,'Cons group &amp; variant assumption'!$A$75:$A$83,'Cons group &amp; variant assumption'!AQ$75:AQ$83),0)</f>
        <v>0</v>
      </c>
      <c r="AO181" s="63">
        <f>IF(AO$177&lt;=_xlfn.XLOOKUP(Sc2_variant,$D$63:$E$63,$D$64:$E$64),_xlfn.XLOOKUP($H$168,'Cons group &amp; variant assumption'!$A$75:$A$83,'Cons group &amp; variant assumption'!AR$75:AR$83),0)</f>
        <v>0</v>
      </c>
      <c r="AP181" s="63">
        <f>IF(AP$177&lt;=_xlfn.XLOOKUP(Sc2_variant,$D$63:$E$63,$D$64:$E$64),_xlfn.XLOOKUP($H$168,'Cons group &amp; variant assumption'!$A$75:$A$83,'Cons group &amp; variant assumption'!AS$75:AS$83),0)</f>
        <v>0</v>
      </c>
    </row>
    <row r="182" spans="1:42" ht="14.45" customHeight="1" outlineLevel="2" x14ac:dyDescent="0.25">
      <c r="A182" s="156" t="s">
        <v>171</v>
      </c>
      <c r="B182" s="5" t="s">
        <v>149</v>
      </c>
      <c r="C182" s="5" t="s">
        <v>144</v>
      </c>
      <c r="D182" s="223" t="s">
        <v>153</v>
      </c>
      <c r="E182" s="223"/>
      <c r="F182" s="223"/>
      <c r="G182" s="223"/>
      <c r="H182" s="223" t="s">
        <v>460</v>
      </c>
      <c r="I182" s="223"/>
      <c r="J182" s="223"/>
      <c r="K182" s="223"/>
      <c r="L182" s="63">
        <f>IF(L$177&lt;=_xlfn.XLOOKUP(Sc2_variant,$D$63:$E$63,$D$64:$E$64),_xlfn.XLOOKUP($H$168,'Cons group &amp; variant assumption'!$A$106:$A$114,'Cons group &amp; variant assumption'!O$106:O$114),0)</f>
        <v>0.25</v>
      </c>
      <c r="M182" s="63">
        <f>IF(M$177&lt;=_xlfn.XLOOKUP(Sc2_variant,$D$63:$E$63,$D$64:$E$64),_xlfn.XLOOKUP($H$168,'Cons group &amp; variant assumption'!$A$106:$A$114,'Cons group &amp; variant assumption'!P$106:P$114),0)</f>
        <v>1</v>
      </c>
      <c r="N182" s="63">
        <f>IF(N$177&lt;=_xlfn.XLOOKUP(Sc2_variant,$D$63:$E$63,$D$64:$E$64),_xlfn.XLOOKUP($H$168,'Cons group &amp; variant assumption'!$A$106:$A$114,'Cons group &amp; variant assumption'!Q$106:Q$114),0)</f>
        <v>1.5680622764569745</v>
      </c>
      <c r="O182" s="63">
        <f>IF(O$177&lt;=_xlfn.XLOOKUP(Sc2_variant,$D$63:$E$63,$D$64:$E$64),_xlfn.XLOOKUP($H$168,'Cons group &amp; variant assumption'!$A$106:$A$114,'Cons group &amp; variant assumption'!R$106:R$114),0)</f>
        <v>1.5680622764569745</v>
      </c>
      <c r="P182" s="63">
        <f>IF(P$177&lt;=_xlfn.XLOOKUP(Sc2_variant,$D$63:$E$63,$D$64:$E$64),_xlfn.XLOOKUP($H$168,'Cons group &amp; variant assumption'!$A$106:$A$114,'Cons group &amp; variant assumption'!S$106:S$114),0)</f>
        <v>1.5680622764569745</v>
      </c>
      <c r="Q182" s="63">
        <f>IF(Q$177&lt;=_xlfn.XLOOKUP(Sc2_variant,$D$63:$E$63,$D$64:$E$64),_xlfn.XLOOKUP($H$168,'Cons group &amp; variant assumption'!$A$106:$A$114,'Cons group &amp; variant assumption'!T$106:T$114),0)</f>
        <v>1.5680622764569745</v>
      </c>
      <c r="R182" s="63">
        <f>IF(R$177&lt;=_xlfn.XLOOKUP(Sc2_variant,$D$63:$E$63,$D$64:$E$64),_xlfn.XLOOKUP($H$168,'Cons group &amp; variant assumption'!$A$106:$A$114,'Cons group &amp; variant assumption'!U$106:U$114),0)</f>
        <v>1.5680622764569745</v>
      </c>
      <c r="S182" s="63">
        <f>IF(S$177&lt;=_xlfn.XLOOKUP(Sc2_variant,$D$63:$E$63,$D$64:$E$64),_xlfn.XLOOKUP($H$168,'Cons group &amp; variant assumption'!$A$106:$A$114,'Cons group &amp; variant assumption'!V$106:V$114),0)</f>
        <v>1.5680622764569745</v>
      </c>
      <c r="T182" s="63">
        <f>IF(T$177&lt;=_xlfn.XLOOKUP(Sc2_variant,$D$63:$E$63,$D$64:$E$64),_xlfn.XLOOKUP($H$168,'Cons group &amp; variant assumption'!$A$106:$A$114,'Cons group &amp; variant assumption'!W$106:W$114),0)</f>
        <v>1.5680622764569745</v>
      </c>
      <c r="U182" s="63">
        <f>IF(U$177&lt;=_xlfn.XLOOKUP(Sc2_variant,$D$63:$E$63,$D$64:$E$64),_xlfn.XLOOKUP($H$168,'Cons group &amp; variant assumption'!$A$106:$A$114,'Cons group &amp; variant assumption'!X$106:X$114),0)</f>
        <v>1.5680622764569745</v>
      </c>
      <c r="V182" s="63">
        <f>IF(V$177&lt;=_xlfn.XLOOKUP(Sc2_variant,$D$63:$E$63,$D$64:$E$64),_xlfn.XLOOKUP($H$168,'Cons group &amp; variant assumption'!$A$106:$A$114,'Cons group &amp; variant assumption'!Y$106:Y$114),0)</f>
        <v>1.5680622764569745</v>
      </c>
      <c r="W182" s="63">
        <f>IF(W$177&lt;=_xlfn.XLOOKUP(Sc2_variant,$D$63:$E$63,$D$64:$E$64),_xlfn.XLOOKUP($H$168,'Cons group &amp; variant assumption'!$A$106:$A$114,'Cons group &amp; variant assumption'!Z$106:Z$114),0)</f>
        <v>1.5680622764569745</v>
      </c>
      <c r="X182" s="63">
        <f>IF(X$177&lt;=_xlfn.XLOOKUP(Sc2_variant,$D$63:$E$63,$D$64:$E$64),_xlfn.XLOOKUP($H$168,'Cons group &amp; variant assumption'!$A$106:$A$114,'Cons group &amp; variant assumption'!AA$106:AA$114),0)</f>
        <v>1.5680622764569745</v>
      </c>
      <c r="Y182" s="63">
        <f>IF(Y$177&lt;=_xlfn.XLOOKUP(Sc2_variant,$D$63:$E$63,$D$64:$E$64),_xlfn.XLOOKUP($H$168,'Cons group &amp; variant assumption'!$A$106:$A$114,'Cons group &amp; variant assumption'!AB$106:AB$114),0)</f>
        <v>1.5680622764569745</v>
      </c>
      <c r="Z182" s="63">
        <f>IF(Z$177&lt;=_xlfn.XLOOKUP(Sc2_variant,$D$63:$E$63,$D$64:$E$64),_xlfn.XLOOKUP($H$168,'Cons group &amp; variant assumption'!$A$106:$A$114,'Cons group &amp; variant assumption'!AC$106:AC$114),0)</f>
        <v>1.5680622764569745</v>
      </c>
      <c r="AA182" s="63">
        <f>IF(AA$177&lt;=_xlfn.XLOOKUP(Sc2_variant,$D$63:$E$63,$D$64:$E$64),_xlfn.XLOOKUP($H$168,'Cons group &amp; variant assumption'!$A$106:$A$114,'Cons group &amp; variant assumption'!AD$106:AD$114),0)</f>
        <v>1.5680622764569745</v>
      </c>
      <c r="AB182" s="63">
        <f>IF(AB$177&lt;=_xlfn.XLOOKUP(Sc2_variant,$D$63:$E$63,$D$64:$E$64),_xlfn.XLOOKUP($H$168,'Cons group &amp; variant assumption'!$A$106:$A$114,'Cons group &amp; variant assumption'!AE$106:AE$114),0)</f>
        <v>0</v>
      </c>
      <c r="AC182" s="63">
        <f>IF(AC$177&lt;=_xlfn.XLOOKUP(Sc2_variant,$D$63:$E$63,$D$64:$E$64),_xlfn.XLOOKUP($H$168,'Cons group &amp; variant assumption'!$A$106:$A$114,'Cons group &amp; variant assumption'!AF$106:AF$114),0)</f>
        <v>0</v>
      </c>
      <c r="AD182" s="63">
        <f>IF(AD$177&lt;=_xlfn.XLOOKUP(Sc2_variant,$D$63:$E$63,$D$64:$E$64),_xlfn.XLOOKUP($H$168,'Cons group &amp; variant assumption'!$A$106:$A$114,'Cons group &amp; variant assumption'!AG$106:AG$114),0)</f>
        <v>0</v>
      </c>
      <c r="AE182" s="63">
        <f>IF(AE$177&lt;=_xlfn.XLOOKUP(Sc2_variant,$D$63:$E$63,$D$64:$E$64),_xlfn.XLOOKUP($H$168,'Cons group &amp; variant assumption'!$A$106:$A$114,'Cons group &amp; variant assumption'!AH$106:AH$114),0)</f>
        <v>0</v>
      </c>
      <c r="AF182" s="63">
        <f>IF(AF$177&lt;=_xlfn.XLOOKUP(Sc2_variant,$D$63:$E$63,$D$64:$E$64),_xlfn.XLOOKUP($H$168,'Cons group &amp; variant assumption'!$A$106:$A$114,'Cons group &amp; variant assumption'!AI$106:AI$114),0)</f>
        <v>0</v>
      </c>
      <c r="AG182" s="63">
        <f>IF(AG$177&lt;=_xlfn.XLOOKUP(Sc2_variant,$D$63:$E$63,$D$64:$E$64),_xlfn.XLOOKUP($H$168,'Cons group &amp; variant assumption'!$A$106:$A$114,'Cons group &amp; variant assumption'!AJ$106:AJ$114),0)</f>
        <v>0</v>
      </c>
      <c r="AH182" s="63">
        <f>IF(AH$177&lt;=_xlfn.XLOOKUP(Sc2_variant,$D$63:$E$63,$D$64:$E$64),_xlfn.XLOOKUP($H$168,'Cons group &amp; variant assumption'!$A$106:$A$114,'Cons group &amp; variant assumption'!AK$106:AK$114),0)</f>
        <v>0</v>
      </c>
      <c r="AI182" s="63">
        <f>IF(AI$177&lt;=_xlfn.XLOOKUP(Sc2_variant,$D$63:$E$63,$D$64:$E$64),_xlfn.XLOOKUP($H$168,'Cons group &amp; variant assumption'!$A$106:$A$114,'Cons group &amp; variant assumption'!AL$106:AL$114),0)</f>
        <v>0</v>
      </c>
      <c r="AJ182" s="63">
        <f>IF(AJ$177&lt;=_xlfn.XLOOKUP(Sc2_variant,$D$63:$E$63,$D$64:$E$64),_xlfn.XLOOKUP($H$168,'Cons group &amp; variant assumption'!$A$106:$A$114,'Cons group &amp; variant assumption'!AM$106:AM$114),0)</f>
        <v>0</v>
      </c>
      <c r="AK182" s="63">
        <f>IF(AK$177&lt;=_xlfn.XLOOKUP(Sc2_variant,$D$63:$E$63,$D$64:$E$64),_xlfn.XLOOKUP($H$168,'Cons group &amp; variant assumption'!$A$106:$A$114,'Cons group &amp; variant assumption'!AN$106:AN$114),0)</f>
        <v>0</v>
      </c>
      <c r="AL182" s="63">
        <f>IF(AL$177&lt;=_xlfn.XLOOKUP(Sc2_variant,$D$63:$E$63,$D$64:$E$64),_xlfn.XLOOKUP($H$168,'Cons group &amp; variant assumption'!$A$106:$A$114,'Cons group &amp; variant assumption'!AO$106:AO$114),0)</f>
        <v>0</v>
      </c>
      <c r="AM182" s="63">
        <f>IF(AM$177&lt;=_xlfn.XLOOKUP(Sc2_variant,$D$63:$E$63,$D$64:$E$64),_xlfn.XLOOKUP($H$168,'Cons group &amp; variant assumption'!$A$106:$A$114,'Cons group &amp; variant assumption'!AP$106:AP$114),0)</f>
        <v>0</v>
      </c>
      <c r="AN182" s="63">
        <f>IF(AN$177&lt;=_xlfn.XLOOKUP(Sc2_variant,$D$63:$E$63,$D$64:$E$64),_xlfn.XLOOKUP($H$168,'Cons group &amp; variant assumption'!$A$106:$A$114,'Cons group &amp; variant assumption'!AQ$106:AQ$114),0)</f>
        <v>0</v>
      </c>
      <c r="AO182" s="63">
        <f>IF(AO$177&lt;=_xlfn.XLOOKUP(Sc2_variant,$D$63:$E$63,$D$64:$E$64),_xlfn.XLOOKUP($H$168,'Cons group &amp; variant assumption'!$A$106:$A$114,'Cons group &amp; variant assumption'!AR$106:AR$114),0)</f>
        <v>0</v>
      </c>
      <c r="AP182" s="63">
        <f>IF(AP$177&lt;=_xlfn.XLOOKUP(Sc2_variant,$D$63:$E$63,$D$64:$E$64),_xlfn.XLOOKUP($H$168,'Cons group &amp; variant assumption'!$A$106:$A$114,'Cons group &amp; variant assumption'!AS$106:AS$114),0)</f>
        <v>0</v>
      </c>
    </row>
    <row r="183" spans="1:42" ht="15.75" outlineLevel="2" thickBot="1" x14ac:dyDescent="0.3">
      <c r="A183" s="156" t="s">
        <v>172</v>
      </c>
      <c r="B183" s="70" t="s">
        <v>173</v>
      </c>
      <c r="C183" s="16" t="s">
        <v>35</v>
      </c>
      <c r="D183" s="224"/>
      <c r="E183" s="224"/>
      <c r="F183" s="224"/>
      <c r="G183" s="224"/>
      <c r="H183" s="224"/>
      <c r="I183" s="224"/>
      <c r="J183" s="224"/>
      <c r="K183" s="224"/>
      <c r="L183" s="98">
        <f>$D175*L179*L180*L181*L182</f>
        <v>1593.0005534785435</v>
      </c>
      <c r="M183" s="98">
        <f t="shared" ref="M183:AP183" si="17">$D175*M179*M180*M181*M182</f>
        <v>6699.0370212229691</v>
      </c>
      <c r="N183" s="98">
        <f t="shared" si="17"/>
        <v>10952.36781549019</v>
      </c>
      <c r="O183" s="98">
        <f t="shared" si="17"/>
        <v>11514.483988377338</v>
      </c>
      <c r="P183" s="98">
        <f t="shared" si="17"/>
        <v>12005.405008169744</v>
      </c>
      <c r="Q183" s="98">
        <f t="shared" si="17"/>
        <v>11474.151780722301</v>
      </c>
      <c r="R183" s="98">
        <f t="shared" si="17"/>
        <v>10966.407130576603</v>
      </c>
      <c r="S183" s="98">
        <f t="shared" si="17"/>
        <v>10481.130775663389</v>
      </c>
      <c r="T183" s="98">
        <f t="shared" si="17"/>
        <v>10017.328467612908</v>
      </c>
      <c r="U183" s="98">
        <f t="shared" si="17"/>
        <v>9574.0499547098461</v>
      </c>
      <c r="V183" s="98">
        <f t="shared" si="17"/>
        <v>9150.3870349898134</v>
      </c>
      <c r="W183" s="98">
        <f t="shared" si="17"/>
        <v>8745.4716954886881</v>
      </c>
      <c r="X183" s="98">
        <f t="shared" si="17"/>
        <v>8358.4743338322551</v>
      </c>
      <c r="Y183" s="98">
        <f t="shared" si="17"/>
        <v>7988.6020585226552</v>
      </c>
      <c r="Z183" s="98">
        <f t="shared" si="17"/>
        <v>7635.0970644391236</v>
      </c>
      <c r="AA183" s="98">
        <f t="shared" si="17"/>
        <v>7297.2350802247201</v>
      </c>
      <c r="AB183" s="98">
        <f t="shared" si="17"/>
        <v>0</v>
      </c>
      <c r="AC183" s="98">
        <f t="shared" si="17"/>
        <v>0</v>
      </c>
      <c r="AD183" s="98">
        <f t="shared" si="17"/>
        <v>0</v>
      </c>
      <c r="AE183" s="98">
        <f t="shared" si="17"/>
        <v>0</v>
      </c>
      <c r="AF183" s="98">
        <f t="shared" si="17"/>
        <v>0</v>
      </c>
      <c r="AG183" s="98">
        <f t="shared" si="17"/>
        <v>0</v>
      </c>
      <c r="AH183" s="98">
        <f t="shared" si="17"/>
        <v>0</v>
      </c>
      <c r="AI183" s="98">
        <f t="shared" si="17"/>
        <v>0</v>
      </c>
      <c r="AJ183" s="98">
        <f t="shared" si="17"/>
        <v>0</v>
      </c>
      <c r="AK183" s="98">
        <f t="shared" si="17"/>
        <v>0</v>
      </c>
      <c r="AL183" s="98">
        <f t="shared" si="17"/>
        <v>0</v>
      </c>
      <c r="AM183" s="98">
        <f t="shared" si="17"/>
        <v>0</v>
      </c>
      <c r="AN183" s="98">
        <f t="shared" si="17"/>
        <v>0</v>
      </c>
      <c r="AO183" s="98">
        <f t="shared" si="17"/>
        <v>0</v>
      </c>
      <c r="AP183" s="98">
        <f t="shared" si="17"/>
        <v>0</v>
      </c>
    </row>
    <row r="184" spans="1:42" ht="15.75" outlineLevel="2" thickTop="1" x14ac:dyDescent="0.25">
      <c r="A184" s="4"/>
    </row>
    <row r="185" spans="1:42" outlineLevel="2" x14ac:dyDescent="0.25">
      <c r="A185" s="4"/>
      <c r="B185" s="6" t="s">
        <v>174</v>
      </c>
      <c r="C185" s="6" t="s">
        <v>61</v>
      </c>
      <c r="D185" s="39" t="s">
        <v>188</v>
      </c>
      <c r="E185" s="225" t="s">
        <v>32</v>
      </c>
      <c r="F185" s="225"/>
      <c r="G185" s="225"/>
      <c r="H185" s="225"/>
      <c r="I185" s="225"/>
      <c r="J185" s="225"/>
      <c r="K185" s="225"/>
      <c r="L185" s="225" t="s">
        <v>33</v>
      </c>
      <c r="M185" s="225"/>
      <c r="N185" s="225"/>
      <c r="O185" s="225"/>
      <c r="P185" s="225"/>
      <c r="Q185" s="225"/>
      <c r="R185" s="225"/>
    </row>
    <row r="186" spans="1:42" outlineLevel="2" x14ac:dyDescent="0.25">
      <c r="A186" s="4"/>
      <c r="B186" s="6" t="s">
        <v>175</v>
      </c>
      <c r="C186" s="6" t="s">
        <v>35</v>
      </c>
      <c r="D186" s="65">
        <f>SUM(L183:AP183)</f>
        <v>144452.62976352111</v>
      </c>
      <c r="E186" s="226" t="s">
        <v>154</v>
      </c>
      <c r="F186" s="226"/>
      <c r="G186" s="226"/>
      <c r="H186" s="226"/>
      <c r="I186" s="226"/>
      <c r="J186" s="226"/>
      <c r="K186" s="226"/>
      <c r="L186" s="226"/>
      <c r="M186" s="226"/>
      <c r="N186" s="226"/>
      <c r="O186" s="226"/>
      <c r="P186" s="226"/>
      <c r="Q186" s="226"/>
      <c r="R186" s="226"/>
    </row>
    <row r="187" spans="1:42" ht="14.45" customHeight="1" outlineLevel="2" x14ac:dyDescent="0.25">
      <c r="A187" s="4"/>
    </row>
    <row r="188" spans="1:42" outlineLevel="1" x14ac:dyDescent="0.25">
      <c r="A188" s="43" t="s">
        <v>231</v>
      </c>
      <c r="B188" s="8"/>
      <c r="H188" s="8"/>
    </row>
    <row r="189" spans="1:42" ht="14.45" customHeight="1" outlineLevel="2" x14ac:dyDescent="0.25">
      <c r="A189" s="4"/>
    </row>
    <row r="190" spans="1:42" outlineLevel="1" x14ac:dyDescent="0.25">
      <c r="B190" s="256" t="s">
        <v>473</v>
      </c>
      <c r="C190" s="256"/>
      <c r="D190" s="256"/>
      <c r="E190" s="256"/>
      <c r="F190" s="256"/>
      <c r="G190" s="256"/>
      <c r="H190" s="256"/>
      <c r="I190" s="256"/>
      <c r="J190" s="256"/>
      <c r="K190" s="256"/>
      <c r="L190" s="256"/>
      <c r="M190" s="256"/>
      <c r="N190" s="256"/>
      <c r="O190" s="256"/>
      <c r="P190" s="256"/>
      <c r="Q190" s="256"/>
      <c r="R190" s="256"/>
    </row>
    <row r="191" spans="1:42" outlineLevel="1" x14ac:dyDescent="0.25">
      <c r="B191" s="8"/>
      <c r="H191" s="8"/>
    </row>
    <row r="192" spans="1:42" outlineLevel="1" x14ac:dyDescent="0.25">
      <c r="B192" s="7" t="s">
        <v>28</v>
      </c>
      <c r="C192" s="151" t="str">
        <f>Sc2_variant</f>
        <v>Variant 2a</v>
      </c>
      <c r="E192" s="120" t="s">
        <v>230</v>
      </c>
      <c r="H192" s="165" t="str">
        <f>_xlfn.XLOOKUP(C192,$D$154:$E$154,$D$155:$E$155)</f>
        <v>Variant 2a customer</v>
      </c>
    </row>
    <row r="193" spans="1:42" outlineLevel="1" x14ac:dyDescent="0.25">
      <c r="B193" s="8"/>
    </row>
    <row r="194" spans="1:42" outlineLevel="2" x14ac:dyDescent="0.25">
      <c r="A194" s="4"/>
      <c r="B194" s="8" t="str">
        <f>"ITR calculation"&amp;" for "&amp;$C$192</f>
        <v>ITR calculation for Variant 2a</v>
      </c>
    </row>
    <row r="195" spans="1:42" ht="14.45" customHeight="1" outlineLevel="2" x14ac:dyDescent="0.25">
      <c r="A195" s="4"/>
    </row>
    <row r="196" spans="1:42" outlineLevel="2" x14ac:dyDescent="0.25">
      <c r="A196" s="4"/>
      <c r="B196" s="6" t="s">
        <v>127</v>
      </c>
      <c r="C196" s="6" t="s">
        <v>61</v>
      </c>
      <c r="D196" s="39" t="str">
        <f>C192</f>
        <v>Variant 2a</v>
      </c>
      <c r="E196" s="225" t="s">
        <v>32</v>
      </c>
      <c r="F196" s="225"/>
      <c r="G196" s="225"/>
      <c r="H196" s="225"/>
      <c r="I196" s="225"/>
      <c r="J196" s="225"/>
      <c r="K196" s="225"/>
      <c r="L196" s="225" t="s">
        <v>33</v>
      </c>
      <c r="M196" s="225"/>
      <c r="N196" s="225"/>
      <c r="O196" s="225"/>
      <c r="P196" s="225"/>
      <c r="Q196" s="225"/>
      <c r="R196" s="225"/>
    </row>
    <row r="197" spans="1:42" ht="14.45" customHeight="1" outlineLevel="2" x14ac:dyDescent="0.25">
      <c r="A197" s="156" t="s">
        <v>162</v>
      </c>
      <c r="B197" s="6" t="s">
        <v>127</v>
      </c>
      <c r="C197" s="5" t="s">
        <v>35</v>
      </c>
      <c r="D197" s="153">
        <f>_xlfn.XLOOKUP($C$192,$D$157:$E$157,$D$159:$E$159)</f>
        <v>4929.3615</v>
      </c>
      <c r="E197" s="226" t="s">
        <v>128</v>
      </c>
      <c r="F197" s="226"/>
      <c r="G197" s="226"/>
      <c r="H197" s="226"/>
      <c r="I197" s="226"/>
      <c r="J197" s="226"/>
      <c r="K197" s="226"/>
      <c r="L197" s="226" t="s">
        <v>463</v>
      </c>
      <c r="M197" s="226"/>
      <c r="N197" s="226"/>
      <c r="O197" s="226"/>
      <c r="P197" s="226"/>
      <c r="Q197" s="226"/>
      <c r="R197" s="226"/>
    </row>
    <row r="198" spans="1:42" outlineLevel="2" x14ac:dyDescent="0.25">
      <c r="A198" s="156"/>
      <c r="B198" s="7"/>
      <c r="D198" s="78"/>
    </row>
    <row r="199" spans="1:42" outlineLevel="2" x14ac:dyDescent="0.25">
      <c r="A199" s="156"/>
      <c r="B199" s="7"/>
      <c r="D199" s="78"/>
      <c r="L199" s="247" t="s">
        <v>139</v>
      </c>
      <c r="M199" s="248"/>
      <c r="N199" s="248"/>
      <c r="O199" s="248"/>
      <c r="P199" s="248"/>
      <c r="Q199" s="24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9"/>
    </row>
    <row r="200" spans="1:42" outlineLevel="2" x14ac:dyDescent="0.25">
      <c r="A200" s="156"/>
      <c r="B200" s="6" t="s">
        <v>176</v>
      </c>
      <c r="C200" s="6" t="s">
        <v>61</v>
      </c>
      <c r="D200" s="225" t="s">
        <v>32</v>
      </c>
      <c r="E200" s="225"/>
      <c r="F200" s="225"/>
      <c r="G200" s="225"/>
      <c r="H200" s="255" t="s">
        <v>33</v>
      </c>
      <c r="I200" s="255"/>
      <c r="J200" s="255"/>
      <c r="K200" s="255"/>
      <c r="L200" s="6">
        <v>0</v>
      </c>
      <c r="M200" s="6">
        <v>1</v>
      </c>
      <c r="N200" s="6">
        <v>2</v>
      </c>
      <c r="O200" s="6">
        <v>3</v>
      </c>
      <c r="P200" s="6">
        <v>4</v>
      </c>
      <c r="Q200" s="6">
        <v>5</v>
      </c>
      <c r="R200" s="6">
        <v>6</v>
      </c>
      <c r="S200" s="6">
        <v>7</v>
      </c>
      <c r="T200" s="6">
        <v>8</v>
      </c>
      <c r="U200" s="6">
        <v>9</v>
      </c>
      <c r="V200" s="6">
        <v>10</v>
      </c>
      <c r="W200" s="6">
        <v>11</v>
      </c>
      <c r="X200" s="6">
        <v>12</v>
      </c>
      <c r="Y200" s="6">
        <v>13</v>
      </c>
      <c r="Z200" s="6">
        <v>14</v>
      </c>
      <c r="AA200" s="6">
        <v>15</v>
      </c>
      <c r="AB200" s="6">
        <v>16</v>
      </c>
      <c r="AC200" s="6">
        <v>17</v>
      </c>
      <c r="AD200" s="6">
        <v>18</v>
      </c>
      <c r="AE200" s="6">
        <v>19</v>
      </c>
      <c r="AF200" s="6">
        <v>20</v>
      </c>
      <c r="AG200" s="6">
        <v>21</v>
      </c>
      <c r="AH200" s="6">
        <v>22</v>
      </c>
      <c r="AI200" s="6">
        <v>23</v>
      </c>
      <c r="AJ200" s="6">
        <v>24</v>
      </c>
      <c r="AK200" s="6">
        <v>25</v>
      </c>
      <c r="AL200" s="6">
        <v>26</v>
      </c>
      <c r="AM200" s="6">
        <v>27</v>
      </c>
      <c r="AN200" s="6">
        <v>28</v>
      </c>
      <c r="AO200" s="6">
        <v>29</v>
      </c>
      <c r="AP200" s="6">
        <v>30</v>
      </c>
    </row>
    <row r="201" spans="1:42" outlineLevel="2" x14ac:dyDescent="0.25">
      <c r="A201" s="156"/>
      <c r="B201" s="5" t="s">
        <v>140</v>
      </c>
      <c r="C201" s="5" t="s">
        <v>141</v>
      </c>
      <c r="D201" s="223" t="s">
        <v>193</v>
      </c>
      <c r="E201" s="223"/>
      <c r="F201" s="223"/>
      <c r="G201" s="223"/>
      <c r="H201" s="223"/>
      <c r="I201" s="223"/>
      <c r="J201" s="223"/>
      <c r="K201" s="223"/>
      <c r="L201" s="77">
        <f t="shared" ref="L201:AP201" si="18">L70</f>
        <v>2026</v>
      </c>
      <c r="M201" s="77">
        <f t="shared" si="18"/>
        <v>2027</v>
      </c>
      <c r="N201" s="77">
        <f t="shared" si="18"/>
        <v>2028</v>
      </c>
      <c r="O201" s="77">
        <f t="shared" si="18"/>
        <v>2029</v>
      </c>
      <c r="P201" s="77">
        <f t="shared" si="18"/>
        <v>2030</v>
      </c>
      <c r="Q201" s="77">
        <f t="shared" si="18"/>
        <v>2031</v>
      </c>
      <c r="R201" s="77">
        <f t="shared" si="18"/>
        <v>2032</v>
      </c>
      <c r="S201" s="77">
        <f t="shared" si="18"/>
        <v>2033</v>
      </c>
      <c r="T201" s="77">
        <f t="shared" si="18"/>
        <v>2034</v>
      </c>
      <c r="U201" s="77">
        <f t="shared" si="18"/>
        <v>2035</v>
      </c>
      <c r="V201" s="77">
        <f t="shared" si="18"/>
        <v>2036</v>
      </c>
      <c r="W201" s="77">
        <f t="shared" si="18"/>
        <v>2037</v>
      </c>
      <c r="X201" s="77">
        <f t="shared" si="18"/>
        <v>2038</v>
      </c>
      <c r="Y201" s="77">
        <f t="shared" si="18"/>
        <v>2039</v>
      </c>
      <c r="Z201" s="77">
        <f t="shared" si="18"/>
        <v>2040</v>
      </c>
      <c r="AA201" s="77">
        <f t="shared" si="18"/>
        <v>2041</v>
      </c>
      <c r="AB201" s="77">
        <f t="shared" si="18"/>
        <v>2042</v>
      </c>
      <c r="AC201" s="77">
        <f t="shared" si="18"/>
        <v>2043</v>
      </c>
      <c r="AD201" s="77">
        <f t="shared" si="18"/>
        <v>2044</v>
      </c>
      <c r="AE201" s="77">
        <f t="shared" si="18"/>
        <v>2045</v>
      </c>
      <c r="AF201" s="77">
        <f t="shared" si="18"/>
        <v>2046</v>
      </c>
      <c r="AG201" s="77">
        <f t="shared" si="18"/>
        <v>2047</v>
      </c>
      <c r="AH201" s="77">
        <f t="shared" si="18"/>
        <v>2048</v>
      </c>
      <c r="AI201" s="77">
        <f t="shared" si="18"/>
        <v>2049</v>
      </c>
      <c r="AJ201" s="77">
        <f t="shared" si="18"/>
        <v>2050</v>
      </c>
      <c r="AK201" s="77">
        <f t="shared" si="18"/>
        <v>2051</v>
      </c>
      <c r="AL201" s="77">
        <f t="shared" si="18"/>
        <v>2052</v>
      </c>
      <c r="AM201" s="77">
        <f t="shared" si="18"/>
        <v>2053</v>
      </c>
      <c r="AN201" s="77">
        <f t="shared" si="18"/>
        <v>2054</v>
      </c>
      <c r="AO201" s="77">
        <f t="shared" si="18"/>
        <v>2055</v>
      </c>
      <c r="AP201" s="77">
        <f t="shared" si="18"/>
        <v>2056</v>
      </c>
    </row>
    <row r="202" spans="1:42" ht="14.45" customHeight="1" outlineLevel="2" x14ac:dyDescent="0.25">
      <c r="A202" s="156" t="s">
        <v>166</v>
      </c>
      <c r="B202" s="5" t="s">
        <v>143</v>
      </c>
      <c r="C202" s="5" t="s">
        <v>144</v>
      </c>
      <c r="D202" s="223" t="s">
        <v>145</v>
      </c>
      <c r="E202" s="223"/>
      <c r="F202" s="223"/>
      <c r="G202" s="223"/>
      <c r="H202" s="223" t="s">
        <v>459</v>
      </c>
      <c r="I202" s="223"/>
      <c r="J202" s="223"/>
      <c r="K202" s="223"/>
      <c r="L202" s="63">
        <f t="shared" ref="L202:AP202" si="19">IF(L$200&lt;=_xlfn.XLOOKUP(Sc2_variant,$D$63:$E$63,$D$64:$E$64),L$71,0)</f>
        <v>1</v>
      </c>
      <c r="M202" s="63">
        <f t="shared" si="19"/>
        <v>0.95574882920768423</v>
      </c>
      <c r="N202" s="63">
        <f t="shared" si="19"/>
        <v>0.91345582453185914</v>
      </c>
      <c r="O202" s="63">
        <f t="shared" si="19"/>
        <v>0.87303433482926418</v>
      </c>
      <c r="P202" s="63">
        <f t="shared" si="19"/>
        <v>0.83440154337117856</v>
      </c>
      <c r="Q202" s="63">
        <f t="shared" si="19"/>
        <v>0.79747829816608862</v>
      </c>
      <c r="R202" s="63">
        <f t="shared" si="19"/>
        <v>0.76218894979077567</v>
      </c>
      <c r="S202" s="63">
        <f t="shared" si="19"/>
        <v>0.72846119639756823</v>
      </c>
      <c r="T202" s="63">
        <f t="shared" si="19"/>
        <v>0.69622593558020462</v>
      </c>
      <c r="U202" s="63">
        <f t="shared" si="19"/>
        <v>0.66541712279480525</v>
      </c>
      <c r="V202" s="63">
        <f t="shared" si="19"/>
        <v>0.63597163604588081</v>
      </c>
      <c r="W202" s="63">
        <f t="shared" si="19"/>
        <v>0.60782914656014608</v>
      </c>
      <c r="X202" s="63">
        <f t="shared" si="19"/>
        <v>0.58093199518316552</v>
      </c>
      <c r="Y202" s="63">
        <f t="shared" si="19"/>
        <v>0.55522507424559442</v>
      </c>
      <c r="Z202" s="63">
        <f t="shared" si="19"/>
        <v>0.53065571465697647</v>
      </c>
      <c r="AA202" s="63">
        <f t="shared" si="19"/>
        <v>0.50717357799577223</v>
      </c>
      <c r="AB202" s="63">
        <f t="shared" si="19"/>
        <v>0</v>
      </c>
      <c r="AC202" s="63">
        <f t="shared" si="19"/>
        <v>0</v>
      </c>
      <c r="AD202" s="63">
        <f t="shared" si="19"/>
        <v>0</v>
      </c>
      <c r="AE202" s="63">
        <f t="shared" si="19"/>
        <v>0</v>
      </c>
      <c r="AF202" s="63">
        <f t="shared" si="19"/>
        <v>0</v>
      </c>
      <c r="AG202" s="63">
        <f t="shared" si="19"/>
        <v>0</v>
      </c>
      <c r="AH202" s="63">
        <f t="shared" si="19"/>
        <v>0</v>
      </c>
      <c r="AI202" s="63">
        <f t="shared" si="19"/>
        <v>0</v>
      </c>
      <c r="AJ202" s="63">
        <f t="shared" si="19"/>
        <v>0</v>
      </c>
      <c r="AK202" s="63">
        <f t="shared" si="19"/>
        <v>0</v>
      </c>
      <c r="AL202" s="63">
        <f t="shared" si="19"/>
        <v>0</v>
      </c>
      <c r="AM202" s="63">
        <f t="shared" si="19"/>
        <v>0</v>
      </c>
      <c r="AN202" s="63">
        <f t="shared" si="19"/>
        <v>0</v>
      </c>
      <c r="AO202" s="63">
        <f t="shared" si="19"/>
        <v>0</v>
      </c>
      <c r="AP202" s="63">
        <f t="shared" si="19"/>
        <v>0</v>
      </c>
    </row>
    <row r="203" spans="1:42" ht="29.1" customHeight="1" outlineLevel="2" x14ac:dyDescent="0.25">
      <c r="A203" s="156" t="s">
        <v>168</v>
      </c>
      <c r="B203" s="5" t="s">
        <v>295</v>
      </c>
      <c r="C203" s="5" t="s">
        <v>144</v>
      </c>
      <c r="D203" s="223" t="s">
        <v>151</v>
      </c>
      <c r="E203" s="223"/>
      <c r="F203" s="223"/>
      <c r="G203" s="223"/>
      <c r="H203" s="223" t="s">
        <v>292</v>
      </c>
      <c r="I203" s="223"/>
      <c r="J203" s="223"/>
      <c r="K203" s="223"/>
      <c r="L203" s="63">
        <f>IF(L$200&lt;=_xlfn.XLOOKUP(Sc2_variant,$D$63:$E$63,$D$64:$E$64),'Distributor assumptions'!K$16,0)</f>
        <v>1</v>
      </c>
      <c r="M203" s="63">
        <f>IF(M$200&lt;=_xlfn.XLOOKUP(Sc2_variant,$D$63:$E$63,$D$64:$E$64),'Distributor assumptions'!L$16,0)</f>
        <v>1.1499999999999999</v>
      </c>
      <c r="N203" s="63">
        <f>IF(N$200&lt;=_xlfn.XLOOKUP(Sc2_variant,$D$63:$E$63,$D$64:$E$64),'Distributor assumptions'!M$16,0)</f>
        <v>1.1599999999999999</v>
      </c>
      <c r="O203" s="63">
        <f>IF(O$200&lt;=_xlfn.XLOOKUP(Sc2_variant,$D$63:$E$63,$D$64:$E$64),'Distributor assumptions'!N$16,0)</f>
        <v>1.19</v>
      </c>
      <c r="P203" s="63">
        <f>IF(P$200&lt;=_xlfn.XLOOKUP(Sc2_variant,$D$63:$E$63,$D$64:$E$64),'Distributor assumptions'!O$16,0)</f>
        <v>1.21</v>
      </c>
      <c r="Q203" s="63">
        <f>IF(Q$200&lt;=_xlfn.XLOOKUP(Sc2_variant,$D$63:$E$63,$D$64:$E$64),'Distributor assumptions'!P$16,0)</f>
        <v>1.24</v>
      </c>
      <c r="R203" s="63">
        <f>IF(R$200&lt;=_xlfn.XLOOKUP(Sc2_variant,$D$63:$E$63,$D$64:$E$64),'Distributor assumptions'!Q$16,0)</f>
        <v>1.2</v>
      </c>
      <c r="S203" s="63">
        <f>IF(S$200&lt;=_xlfn.XLOOKUP(Sc2_variant,$D$63:$E$63,$D$64:$E$64),'Distributor assumptions'!R$16,0)</f>
        <v>1.2</v>
      </c>
      <c r="T203" s="63">
        <f>IF(T$200&lt;=_xlfn.XLOOKUP(Sc2_variant,$D$63:$E$63,$D$64:$E$64),'Distributor assumptions'!S$16,0)</f>
        <v>1.2</v>
      </c>
      <c r="U203" s="63">
        <f>IF(U$200&lt;=_xlfn.XLOOKUP(Sc2_variant,$D$63:$E$63,$D$64:$E$64),'Distributor assumptions'!T$16,0)</f>
        <v>1.2</v>
      </c>
      <c r="V203" s="63">
        <f>IF(V$200&lt;=_xlfn.XLOOKUP(Sc2_variant,$D$63:$E$63,$D$64:$E$64),'Distributor assumptions'!U$16,0)</f>
        <v>1.2</v>
      </c>
      <c r="W203" s="63">
        <f>IF(W$200&lt;=_xlfn.XLOOKUP(Sc2_variant,$D$63:$E$63,$D$64:$E$64),'Distributor assumptions'!V$16,0)</f>
        <v>1.2</v>
      </c>
      <c r="X203" s="63">
        <f>IF(X$200&lt;=_xlfn.XLOOKUP(Sc2_variant,$D$63:$E$63,$D$64:$E$64),'Distributor assumptions'!W$16,0)</f>
        <v>1.2</v>
      </c>
      <c r="Y203" s="63">
        <f>IF(Y$200&lt;=_xlfn.XLOOKUP(Sc2_variant,$D$63:$E$63,$D$64:$E$64),'Distributor assumptions'!X$16,0)</f>
        <v>1.2</v>
      </c>
      <c r="Z203" s="63">
        <f>IF(Z$200&lt;=_xlfn.XLOOKUP(Sc2_variant,$D$63:$E$63,$D$64:$E$64),'Distributor assumptions'!Y$16,0)</f>
        <v>1.2</v>
      </c>
      <c r="AA203" s="63">
        <f>IF(AA$200&lt;=_xlfn.XLOOKUP(Sc2_variant,$D$63:$E$63,$D$64:$E$64),'Distributor assumptions'!Z$16,0)</f>
        <v>1.2</v>
      </c>
      <c r="AB203" s="63">
        <f>IF(AB$200&lt;=_xlfn.XLOOKUP(Sc2_variant,$D$63:$E$63,$D$64:$E$64),'Distributor assumptions'!AA$16,0)</f>
        <v>0</v>
      </c>
      <c r="AC203" s="63">
        <f>IF(AC$200&lt;=_xlfn.XLOOKUP(Sc2_variant,$D$63:$E$63,$D$64:$E$64),'Distributor assumptions'!AB$16,0)</f>
        <v>0</v>
      </c>
      <c r="AD203" s="63">
        <f>IF(AD$200&lt;=_xlfn.XLOOKUP(Sc2_variant,$D$63:$E$63,$D$64:$E$64),'Distributor assumptions'!AC$16,0)</f>
        <v>0</v>
      </c>
      <c r="AE203" s="63">
        <f>IF(AE$200&lt;=_xlfn.XLOOKUP(Sc2_variant,$D$63:$E$63,$D$64:$E$64),'Distributor assumptions'!AD$16,0)</f>
        <v>0</v>
      </c>
      <c r="AF203" s="63">
        <f>IF(AF$200&lt;=_xlfn.XLOOKUP(Sc2_variant,$D$63:$E$63,$D$64:$E$64),'Distributor assumptions'!AE$16,0)</f>
        <v>0</v>
      </c>
      <c r="AG203" s="63">
        <f>IF(AG$200&lt;=_xlfn.XLOOKUP(Sc2_variant,$D$63:$E$63,$D$64:$E$64),'Distributor assumptions'!AF$16,0)</f>
        <v>0</v>
      </c>
      <c r="AH203" s="63">
        <f>IF(AH$200&lt;=_xlfn.XLOOKUP(Sc2_variant,$D$63:$E$63,$D$64:$E$64),'Distributor assumptions'!AG$16,0)</f>
        <v>0</v>
      </c>
      <c r="AI203" s="63">
        <f>IF(AI$200&lt;=_xlfn.XLOOKUP(Sc2_variant,$D$63:$E$63,$D$64:$E$64),'Distributor assumptions'!AH$16,0)</f>
        <v>0</v>
      </c>
      <c r="AJ203" s="63">
        <f>IF(AJ$200&lt;=_xlfn.XLOOKUP(Sc2_variant,$D$63:$E$63,$D$64:$E$64),'Distributor assumptions'!AI$16,0)</f>
        <v>0</v>
      </c>
      <c r="AK203" s="63">
        <f>IF(AK$200&lt;=_xlfn.XLOOKUP(Sc2_variant,$D$63:$E$63,$D$64:$E$64),'Distributor assumptions'!AJ$16,0)</f>
        <v>0</v>
      </c>
      <c r="AL203" s="63">
        <f>IF(AL$200&lt;=_xlfn.XLOOKUP(Sc2_variant,$D$63:$E$63,$D$64:$E$64),'Distributor assumptions'!AK$16,0)</f>
        <v>0</v>
      </c>
      <c r="AM203" s="63">
        <f>IF(AM$200&lt;=_xlfn.XLOOKUP(Sc2_variant,$D$63:$E$63,$D$64:$E$64),'Distributor assumptions'!AL$16,0)</f>
        <v>0</v>
      </c>
      <c r="AN203" s="63">
        <f>IF(AN$200&lt;=_xlfn.XLOOKUP(Sc2_variant,$D$63:$E$63,$D$64:$E$64),'Distributor assumptions'!AM$16,0)</f>
        <v>0</v>
      </c>
      <c r="AO203" s="63">
        <f>IF(AO$200&lt;=_xlfn.XLOOKUP(Sc2_variant,$D$63:$E$63,$D$64:$E$64),'Distributor assumptions'!AN$16,0)</f>
        <v>0</v>
      </c>
      <c r="AP203" s="63">
        <f>IF(AP$200&lt;=_xlfn.XLOOKUP(Sc2_variant,$D$63:$E$63,$D$64:$E$64),'Distributor assumptions'!AO$16,0)</f>
        <v>0</v>
      </c>
    </row>
    <row r="204" spans="1:42" ht="14.45" customHeight="1" outlineLevel="2" x14ac:dyDescent="0.25">
      <c r="A204" s="156" t="s">
        <v>170</v>
      </c>
      <c r="B204" s="5" t="s">
        <v>296</v>
      </c>
      <c r="C204" s="5" t="s">
        <v>144</v>
      </c>
      <c r="D204" s="223" t="s">
        <v>148</v>
      </c>
      <c r="E204" s="223"/>
      <c r="F204" s="223"/>
      <c r="G204" s="223"/>
      <c r="H204" s="223" t="s">
        <v>294</v>
      </c>
      <c r="I204" s="223"/>
      <c r="J204" s="223"/>
      <c r="K204" s="223"/>
      <c r="L204" s="63">
        <f>IF(L$200&lt;=_xlfn.XLOOKUP(Sc2_variant,$D$63:$E$63,$D$64:$E$64),_xlfn.XLOOKUP($H$192,'Cons group &amp; variant assumption'!$A$88:$A$99,'Cons group &amp; variant assumption'!O$88:O$99),0)</f>
        <v>1</v>
      </c>
      <c r="M204" s="63">
        <f>IF(M$200&lt;=_xlfn.XLOOKUP(Sc2_variant,$D$63:$E$63,$D$64:$E$64),_xlfn.XLOOKUP($H$192,'Cons group &amp; variant assumption'!$A$88:$A$99,'Cons group &amp; variant assumption'!P$88:P$99),0)</f>
        <v>1.0309278350515465</v>
      </c>
      <c r="N204" s="63">
        <f>IF(N$200&lt;=_xlfn.XLOOKUP(Sc2_variant,$D$63:$E$63,$D$64:$E$64),_xlfn.XLOOKUP($H$192,'Cons group &amp; variant assumption'!$A$88:$A$99,'Cons group &amp; variant assumption'!Q$88:Q$99),0)</f>
        <v>1.0638297872340425</v>
      </c>
      <c r="O204" s="63">
        <f>IF(O$200&lt;=_xlfn.XLOOKUP(Sc2_variant,$D$63:$E$63,$D$64:$E$64),_xlfn.XLOOKUP($H$192,'Cons group &amp; variant assumption'!$A$88:$A$99,'Cons group &amp; variant assumption'!R$88:R$99),0)</f>
        <v>1.1111111111111112</v>
      </c>
      <c r="P204" s="63">
        <f>IF(P$200&lt;=_xlfn.XLOOKUP(Sc2_variant,$D$63:$E$63,$D$64:$E$64),_xlfn.XLOOKUP($H$192,'Cons group &amp; variant assumption'!$A$88:$A$99,'Cons group &amp; variant assumption'!S$88:S$99),0)</f>
        <v>1.1494252873563218</v>
      </c>
      <c r="Q204" s="63">
        <f>IF(Q$200&lt;=_xlfn.XLOOKUP(Sc2_variant,$D$63:$E$63,$D$64:$E$64),_xlfn.XLOOKUP($H$192,'Cons group &amp; variant assumption'!$A$88:$A$99,'Cons group &amp; variant assumption'!T$88:T$99),0)</f>
        <v>1.1904761904761905</v>
      </c>
      <c r="R204" s="63">
        <f>IF(R$200&lt;=_xlfn.XLOOKUP(Sc2_variant,$D$63:$E$63,$D$64:$E$64),_xlfn.XLOOKUP($H$192,'Cons group &amp; variant assumption'!$A$88:$A$99,'Cons group &amp; variant assumption'!U$88:U$99),0)</f>
        <v>1.1904761904761905</v>
      </c>
      <c r="S204" s="63">
        <f>IF(S$200&lt;=_xlfn.XLOOKUP(Sc2_variant,$D$63:$E$63,$D$64:$E$64),_xlfn.XLOOKUP($H$192,'Cons group &amp; variant assumption'!$A$88:$A$99,'Cons group &amp; variant assumption'!V$88:V$99),0)</f>
        <v>1.1904761904761905</v>
      </c>
      <c r="T204" s="63">
        <f>IF(T$200&lt;=_xlfn.XLOOKUP(Sc2_variant,$D$63:$E$63,$D$64:$E$64),_xlfn.XLOOKUP($H$192,'Cons group &amp; variant assumption'!$A$88:$A$99,'Cons group &amp; variant assumption'!W$88:W$99),0)</f>
        <v>1.1904761904761905</v>
      </c>
      <c r="U204" s="63">
        <f>IF(U$200&lt;=_xlfn.XLOOKUP(Sc2_variant,$D$63:$E$63,$D$64:$E$64),_xlfn.XLOOKUP($H$192,'Cons group &amp; variant assumption'!$A$88:$A$99,'Cons group &amp; variant assumption'!X$88:X$99),0)</f>
        <v>1.1904761904761905</v>
      </c>
      <c r="V204" s="63">
        <f>IF(V$200&lt;=_xlfn.XLOOKUP(Sc2_variant,$D$63:$E$63,$D$64:$E$64),_xlfn.XLOOKUP($H$192,'Cons group &amp; variant assumption'!$A$88:$A$99,'Cons group &amp; variant assumption'!Y$88:Y$99),0)</f>
        <v>1.1904761904761905</v>
      </c>
      <c r="W204" s="63">
        <f>IF(W$200&lt;=_xlfn.XLOOKUP(Sc2_variant,$D$63:$E$63,$D$64:$E$64),_xlfn.XLOOKUP($H$192,'Cons group &amp; variant assumption'!$A$88:$A$99,'Cons group &amp; variant assumption'!Z$88:Z$99),0)</f>
        <v>1.1904761904761905</v>
      </c>
      <c r="X204" s="63">
        <f>IF(X$200&lt;=_xlfn.XLOOKUP(Sc2_variant,$D$63:$E$63,$D$64:$E$64),_xlfn.XLOOKUP($H$192,'Cons group &amp; variant assumption'!$A$88:$A$99,'Cons group &amp; variant assumption'!AA$88:AA$99),0)</f>
        <v>1.1904761904761905</v>
      </c>
      <c r="Y204" s="63">
        <f>IF(Y$200&lt;=_xlfn.XLOOKUP(Sc2_variant,$D$63:$E$63,$D$64:$E$64),_xlfn.XLOOKUP($H$192,'Cons group &amp; variant assumption'!$A$88:$A$99,'Cons group &amp; variant assumption'!AB$88:AB$99),0)</f>
        <v>1.1904761904761905</v>
      </c>
      <c r="Z204" s="63">
        <f>IF(Z$200&lt;=_xlfn.XLOOKUP(Sc2_variant,$D$63:$E$63,$D$64:$E$64),_xlfn.XLOOKUP($H$192,'Cons group &amp; variant assumption'!$A$88:$A$99,'Cons group &amp; variant assumption'!AC$88:AC$99),0)</f>
        <v>1.1904761904761905</v>
      </c>
      <c r="AA204" s="63">
        <f>IF(AA$200&lt;=_xlfn.XLOOKUP(Sc2_variant,$D$63:$E$63,$D$64:$E$64),_xlfn.XLOOKUP($H$192,'Cons group &amp; variant assumption'!$A$88:$A$99,'Cons group &amp; variant assumption'!AD$88:AD$99),0)</f>
        <v>1.1904761904761905</v>
      </c>
      <c r="AB204" s="63">
        <f>IF(AB$200&lt;=_xlfn.XLOOKUP(Sc2_variant,$D$63:$E$63,$D$64:$E$64),_xlfn.XLOOKUP($H$192,'Cons group &amp; variant assumption'!$A$88:$A$99,'Cons group &amp; variant assumption'!AE$88:AE$99),0)</f>
        <v>0</v>
      </c>
      <c r="AC204" s="63">
        <f>IF(AC$200&lt;=_xlfn.XLOOKUP(Sc2_variant,$D$63:$E$63,$D$64:$E$64),_xlfn.XLOOKUP($H$192,'Cons group &amp; variant assumption'!$A$88:$A$99,'Cons group &amp; variant assumption'!AF$88:AF$99),0)</f>
        <v>0</v>
      </c>
      <c r="AD204" s="63">
        <f>IF(AD$200&lt;=_xlfn.XLOOKUP(Sc2_variant,$D$63:$E$63,$D$64:$E$64),_xlfn.XLOOKUP($H$192,'Cons group &amp; variant assumption'!$A$88:$A$99,'Cons group &amp; variant assumption'!AG$88:AG$99),0)</f>
        <v>0</v>
      </c>
      <c r="AE204" s="63">
        <f>IF(AE$200&lt;=_xlfn.XLOOKUP(Sc2_variant,$D$63:$E$63,$D$64:$E$64),_xlfn.XLOOKUP($H$192,'Cons group &amp; variant assumption'!$A$88:$A$99,'Cons group &amp; variant assumption'!AH$88:AH$99),0)</f>
        <v>0</v>
      </c>
      <c r="AF204" s="63">
        <f>IF(AF$200&lt;=_xlfn.XLOOKUP(Sc2_variant,$D$63:$E$63,$D$64:$E$64),_xlfn.XLOOKUP($H$192,'Cons group &amp; variant assumption'!$A$88:$A$99,'Cons group &amp; variant assumption'!AI$88:AI$99),0)</f>
        <v>0</v>
      </c>
      <c r="AG204" s="63">
        <f>IF(AG$200&lt;=_xlfn.XLOOKUP(Sc2_variant,$D$63:$E$63,$D$64:$E$64),_xlfn.XLOOKUP($H$192,'Cons group &amp; variant assumption'!$A$88:$A$99,'Cons group &amp; variant assumption'!AJ$88:AJ$99),0)</f>
        <v>0</v>
      </c>
      <c r="AH204" s="63">
        <f>IF(AH$200&lt;=_xlfn.XLOOKUP(Sc2_variant,$D$63:$E$63,$D$64:$E$64),_xlfn.XLOOKUP($H$192,'Cons group &amp; variant assumption'!$A$88:$A$99,'Cons group &amp; variant assumption'!AK$88:AK$99),0)</f>
        <v>0</v>
      </c>
      <c r="AI204" s="63">
        <f>IF(AI$200&lt;=_xlfn.XLOOKUP(Sc2_variant,$D$63:$E$63,$D$64:$E$64),_xlfn.XLOOKUP($H$192,'Cons group &amp; variant assumption'!$A$88:$A$99,'Cons group &amp; variant assumption'!AL$88:AL$99),0)</f>
        <v>0</v>
      </c>
      <c r="AJ204" s="63">
        <f>IF(AJ$200&lt;=_xlfn.XLOOKUP(Sc2_variant,$D$63:$E$63,$D$64:$E$64),_xlfn.XLOOKUP($H$192,'Cons group &amp; variant assumption'!$A$88:$A$99,'Cons group &amp; variant assumption'!AM$88:AM$99),0)</f>
        <v>0</v>
      </c>
      <c r="AK204" s="63">
        <f>IF(AK$200&lt;=_xlfn.XLOOKUP(Sc2_variant,$D$63:$E$63,$D$64:$E$64),_xlfn.XLOOKUP($H$192,'Cons group &amp; variant assumption'!$A$88:$A$99,'Cons group &amp; variant assumption'!AN$88:AN$99),0)</f>
        <v>0</v>
      </c>
      <c r="AL204" s="63">
        <f>IF(AL$200&lt;=_xlfn.XLOOKUP(Sc2_variant,$D$63:$E$63,$D$64:$E$64),_xlfn.XLOOKUP($H$192,'Cons group &amp; variant assumption'!$A$88:$A$99,'Cons group &amp; variant assumption'!AO$88:AO$99),0)</f>
        <v>0</v>
      </c>
      <c r="AM204" s="63">
        <f>IF(AM$200&lt;=_xlfn.XLOOKUP(Sc2_variant,$D$63:$E$63,$D$64:$E$64),_xlfn.XLOOKUP($H$192,'Cons group &amp; variant assumption'!$A$88:$A$99,'Cons group &amp; variant assumption'!AP$88:AP$99),0)</f>
        <v>0</v>
      </c>
      <c r="AN204" s="63">
        <f>IF(AN$200&lt;=_xlfn.XLOOKUP(Sc2_variant,$D$63:$E$63,$D$64:$E$64),_xlfn.XLOOKUP($H$192,'Cons group &amp; variant assumption'!$A$88:$A$99,'Cons group &amp; variant assumption'!AQ$88:AQ$99),0)</f>
        <v>0</v>
      </c>
      <c r="AO204" s="63">
        <f>IF(AO$200&lt;=_xlfn.XLOOKUP(Sc2_variant,$D$63:$E$63,$D$64:$E$64),_xlfn.XLOOKUP($H$192,'Cons group &amp; variant assumption'!$A$88:$A$99,'Cons group &amp; variant assumption'!AR$88:AR$99),0)</f>
        <v>0</v>
      </c>
      <c r="AP204" s="63">
        <f>IF(AP$200&lt;=_xlfn.XLOOKUP(Sc2_variant,$D$63:$E$63,$D$64:$E$64),_xlfn.XLOOKUP($H$192,'Cons group &amp; variant assumption'!$A$88:$A$99,'Cons group &amp; variant assumption'!AS$88:AS$99),0)</f>
        <v>0</v>
      </c>
    </row>
    <row r="205" spans="1:42" ht="14.45" customHeight="1" outlineLevel="2" x14ac:dyDescent="0.25">
      <c r="A205" s="156" t="s">
        <v>171</v>
      </c>
      <c r="B205" s="5" t="s">
        <v>152</v>
      </c>
      <c r="C205" s="5" t="s">
        <v>144</v>
      </c>
      <c r="D205" s="223" t="s">
        <v>153</v>
      </c>
      <c r="E205" s="223"/>
      <c r="F205" s="223"/>
      <c r="G205" s="223"/>
      <c r="H205" s="223" t="s">
        <v>461</v>
      </c>
      <c r="I205" s="223"/>
      <c r="J205" s="223"/>
      <c r="K205" s="223"/>
      <c r="L205" s="63">
        <f>IF(L$200&lt;=_xlfn.XLOOKUP(Sc2_variant,$D$63:$E$63,$D$64:$E$64),_xlfn.XLOOKUP($H$192,'Cons group &amp; variant assumption'!$A$120:$A$124,'Cons group &amp; variant assumption'!O$120:O$124),0)</f>
        <v>0.25</v>
      </c>
      <c r="M205" s="63">
        <f>IF(M$200&lt;=_xlfn.XLOOKUP(Sc2_variant,$D$63:$E$63,$D$64:$E$64),_xlfn.XLOOKUP($H$192,'Cons group &amp; variant assumption'!$A$120:$A$124,'Cons group &amp; variant assumption'!P$120:P$124),0)</f>
        <v>1</v>
      </c>
      <c r="N205" s="63">
        <f>IF(N$200&lt;=_xlfn.XLOOKUP(Sc2_variant,$D$63:$E$63,$D$64:$E$64),_xlfn.XLOOKUP($H$192,'Cons group &amp; variant assumption'!$A$120:$A$124,'Cons group &amp; variant assumption'!Q$120:Q$124),0)</f>
        <v>1</v>
      </c>
      <c r="O205" s="63">
        <f>IF(O$200&lt;=_xlfn.XLOOKUP(Sc2_variant,$D$63:$E$63,$D$64:$E$64),_xlfn.XLOOKUP($H$192,'Cons group &amp; variant assumption'!$A$120:$A$124,'Cons group &amp; variant assumption'!R$120:R$124),0)</f>
        <v>1</v>
      </c>
      <c r="P205" s="63">
        <f>IF(P$200&lt;=_xlfn.XLOOKUP(Sc2_variant,$D$63:$E$63,$D$64:$E$64),_xlfn.XLOOKUP($H$192,'Cons group &amp; variant assumption'!$A$120:$A$124,'Cons group &amp; variant assumption'!S$120:S$124),0)</f>
        <v>1</v>
      </c>
      <c r="Q205" s="63">
        <f>IF(Q$200&lt;=_xlfn.XLOOKUP(Sc2_variant,$D$63:$E$63,$D$64:$E$64),_xlfn.XLOOKUP($H$192,'Cons group &amp; variant assumption'!$A$120:$A$124,'Cons group &amp; variant assumption'!T$120:T$124),0)</f>
        <v>1</v>
      </c>
      <c r="R205" s="63">
        <f>IF(R$200&lt;=_xlfn.XLOOKUP(Sc2_variant,$D$63:$E$63,$D$64:$E$64),_xlfn.XLOOKUP($H$192,'Cons group &amp; variant assumption'!$A$120:$A$124,'Cons group &amp; variant assumption'!U$120:U$124),0)</f>
        <v>1</v>
      </c>
      <c r="S205" s="63">
        <f>IF(S$200&lt;=_xlfn.XLOOKUP(Sc2_variant,$D$63:$E$63,$D$64:$E$64),_xlfn.XLOOKUP($H$192,'Cons group &amp; variant assumption'!$A$120:$A$124,'Cons group &amp; variant assumption'!V$120:V$124),0)</f>
        <v>1</v>
      </c>
      <c r="T205" s="63">
        <f>IF(T$200&lt;=_xlfn.XLOOKUP(Sc2_variant,$D$63:$E$63,$D$64:$E$64),_xlfn.XLOOKUP($H$192,'Cons group &amp; variant assumption'!$A$120:$A$124,'Cons group &amp; variant assumption'!W$120:W$124),0)</f>
        <v>1</v>
      </c>
      <c r="U205" s="63">
        <f>IF(U$200&lt;=_xlfn.XLOOKUP(Sc2_variant,$D$63:$E$63,$D$64:$E$64),_xlfn.XLOOKUP($H$192,'Cons group &amp; variant assumption'!$A$120:$A$124,'Cons group &amp; variant assumption'!X$120:X$124),0)</f>
        <v>1</v>
      </c>
      <c r="V205" s="63">
        <f>IF(V$200&lt;=_xlfn.XLOOKUP(Sc2_variant,$D$63:$E$63,$D$64:$E$64),_xlfn.XLOOKUP($H$192,'Cons group &amp; variant assumption'!$A$120:$A$124,'Cons group &amp; variant assumption'!Y$120:Y$124),0)</f>
        <v>1</v>
      </c>
      <c r="W205" s="63">
        <f>IF(W$200&lt;=_xlfn.XLOOKUP(Sc2_variant,$D$63:$E$63,$D$64:$E$64),_xlfn.XLOOKUP($H$192,'Cons group &amp; variant assumption'!$A$120:$A$124,'Cons group &amp; variant assumption'!Z$120:Z$124),0)</f>
        <v>1</v>
      </c>
      <c r="X205" s="63">
        <f>IF(X$200&lt;=_xlfn.XLOOKUP(Sc2_variant,$D$63:$E$63,$D$64:$E$64),_xlfn.XLOOKUP($H$192,'Cons group &amp; variant assumption'!$A$120:$A$124,'Cons group &amp; variant assumption'!AA$120:AA$124),0)</f>
        <v>1</v>
      </c>
      <c r="Y205" s="63">
        <f>IF(Y$200&lt;=_xlfn.XLOOKUP(Sc2_variant,$D$63:$E$63,$D$64:$E$64),_xlfn.XLOOKUP($H$192,'Cons group &amp; variant assumption'!$A$120:$A$124,'Cons group &amp; variant assumption'!AB$120:AB$124),0)</f>
        <v>1</v>
      </c>
      <c r="Z205" s="63">
        <f>IF(Z$200&lt;=_xlfn.XLOOKUP(Sc2_variant,$D$63:$E$63,$D$64:$E$64),_xlfn.XLOOKUP($H$192,'Cons group &amp; variant assumption'!$A$120:$A$124,'Cons group &amp; variant assumption'!AC$120:AC$124),0)</f>
        <v>1</v>
      </c>
      <c r="AA205" s="63">
        <f>IF(AA$200&lt;=_xlfn.XLOOKUP(Sc2_variant,$D$63:$E$63,$D$64:$E$64),_xlfn.XLOOKUP($H$192,'Cons group &amp; variant assumption'!$A$120:$A$124,'Cons group &amp; variant assumption'!AD$120:AD$124),0)</f>
        <v>1</v>
      </c>
      <c r="AB205" s="63">
        <f>IF(AB$200&lt;=_xlfn.XLOOKUP(Sc2_variant,$D$63:$E$63,$D$64:$E$64),_xlfn.XLOOKUP($H$192,'Cons group &amp; variant assumption'!$A$120:$A$124,'Cons group &amp; variant assumption'!AE$120:AE$124),0)</f>
        <v>0</v>
      </c>
      <c r="AC205" s="63">
        <f>IF(AC$200&lt;=_xlfn.XLOOKUP(Sc2_variant,$D$63:$E$63,$D$64:$E$64),_xlfn.XLOOKUP($H$192,'Cons group &amp; variant assumption'!$A$120:$A$124,'Cons group &amp; variant assumption'!AF$120:AF$124),0)</f>
        <v>0</v>
      </c>
      <c r="AD205" s="63">
        <f>IF(AD$200&lt;=_xlfn.XLOOKUP(Sc2_variant,$D$63:$E$63,$D$64:$E$64),_xlfn.XLOOKUP($H$192,'Cons group &amp; variant assumption'!$A$120:$A$124,'Cons group &amp; variant assumption'!AG$120:AG$124),0)</f>
        <v>0</v>
      </c>
      <c r="AE205" s="63">
        <f>IF(AE$200&lt;=_xlfn.XLOOKUP(Sc2_variant,$D$63:$E$63,$D$64:$E$64),_xlfn.XLOOKUP($H$192,'Cons group &amp; variant assumption'!$A$120:$A$124,'Cons group &amp; variant assumption'!AH$120:AH$124),0)</f>
        <v>0</v>
      </c>
      <c r="AF205" s="63">
        <f>IF(AF$200&lt;=_xlfn.XLOOKUP(Sc2_variant,$D$63:$E$63,$D$64:$E$64),_xlfn.XLOOKUP($H$192,'Cons group &amp; variant assumption'!$A$120:$A$124,'Cons group &amp; variant assumption'!AI$120:AI$124),0)</f>
        <v>0</v>
      </c>
      <c r="AG205" s="63">
        <f>IF(AG$200&lt;=_xlfn.XLOOKUP(Sc2_variant,$D$63:$E$63,$D$64:$E$64),_xlfn.XLOOKUP($H$192,'Cons group &amp; variant assumption'!$A$120:$A$124,'Cons group &amp; variant assumption'!AJ$120:AJ$124),0)</f>
        <v>0</v>
      </c>
      <c r="AH205" s="63">
        <f>IF(AH$200&lt;=_xlfn.XLOOKUP(Sc2_variant,$D$63:$E$63,$D$64:$E$64),_xlfn.XLOOKUP($H$192,'Cons group &amp; variant assumption'!$A$120:$A$124,'Cons group &amp; variant assumption'!AK$120:AK$124),0)</f>
        <v>0</v>
      </c>
      <c r="AI205" s="63">
        <f>IF(AI$200&lt;=_xlfn.XLOOKUP(Sc2_variant,$D$63:$E$63,$D$64:$E$64),_xlfn.XLOOKUP($H$192,'Cons group &amp; variant assumption'!$A$120:$A$124,'Cons group &amp; variant assumption'!AL$120:AL$124),0)</f>
        <v>0</v>
      </c>
      <c r="AJ205" s="63">
        <f>IF(AJ$200&lt;=_xlfn.XLOOKUP(Sc2_variant,$D$63:$E$63,$D$64:$E$64),_xlfn.XLOOKUP($H$192,'Cons group &amp; variant assumption'!$A$120:$A$124,'Cons group &amp; variant assumption'!AM$120:AM$124),0)</f>
        <v>0</v>
      </c>
      <c r="AK205" s="63">
        <f>IF(AK$200&lt;=_xlfn.XLOOKUP(Sc2_variant,$D$63:$E$63,$D$64:$E$64),_xlfn.XLOOKUP($H$192,'Cons group &amp; variant assumption'!$A$120:$A$124,'Cons group &amp; variant assumption'!AN$120:AN$124),0)</f>
        <v>0</v>
      </c>
      <c r="AL205" s="63">
        <f>IF(AL$200&lt;=_xlfn.XLOOKUP(Sc2_variant,$D$63:$E$63,$D$64:$E$64),_xlfn.XLOOKUP($H$192,'Cons group &amp; variant assumption'!$A$120:$A$124,'Cons group &amp; variant assumption'!AO$120:AO$124),0)</f>
        <v>0</v>
      </c>
      <c r="AM205" s="63">
        <f>IF(AM$200&lt;=_xlfn.XLOOKUP(Sc2_variant,$D$63:$E$63,$D$64:$E$64),_xlfn.XLOOKUP($H$192,'Cons group &amp; variant assumption'!$A$120:$A$124,'Cons group &amp; variant assumption'!AP$120:AP$124),0)</f>
        <v>0</v>
      </c>
      <c r="AN205" s="63">
        <f>IF(AN$200&lt;=_xlfn.XLOOKUP(Sc2_variant,$D$63:$E$63,$D$64:$E$64),_xlfn.XLOOKUP($H$192,'Cons group &amp; variant assumption'!$A$120:$A$124,'Cons group &amp; variant assumption'!AQ$120:AQ$124),0)</f>
        <v>0</v>
      </c>
      <c r="AO205" s="63">
        <f>IF(AO$200&lt;=_xlfn.XLOOKUP(Sc2_variant,$D$63:$E$63,$D$64:$E$64),_xlfn.XLOOKUP($H$192,'Cons group &amp; variant assumption'!$A$120:$A$124,'Cons group &amp; variant assumption'!AR$120:AR$124),0)</f>
        <v>0</v>
      </c>
      <c r="AP205" s="63">
        <f>IF(AP$200&lt;=_xlfn.XLOOKUP(Sc2_variant,$D$63:$E$63,$D$64:$E$64),_xlfn.XLOOKUP($H$192,'Cons group &amp; variant assumption'!$A$120:$A$124,'Cons group &amp; variant assumption'!AS$120:AS$124),0)</f>
        <v>0</v>
      </c>
    </row>
    <row r="206" spans="1:42" ht="15.75" outlineLevel="2" thickBot="1" x14ac:dyDescent="0.3">
      <c r="A206" s="156" t="s">
        <v>172</v>
      </c>
      <c r="B206" s="70" t="s">
        <v>177</v>
      </c>
      <c r="C206" s="16" t="s">
        <v>35</v>
      </c>
      <c r="D206" s="254"/>
      <c r="E206" s="254"/>
      <c r="F206" s="254"/>
      <c r="G206" s="254"/>
      <c r="H206" s="250"/>
      <c r="I206" s="250"/>
      <c r="J206" s="250"/>
      <c r="K206" s="250"/>
      <c r="L206" s="98">
        <f t="shared" ref="L206:AP206" si="20">$D$197*L202*L203*L204*L205</f>
        <v>1232.340375</v>
      </c>
      <c r="M206" s="98">
        <f t="shared" si="20"/>
        <v>5585.4806234241232</v>
      </c>
      <c r="N206" s="98">
        <f t="shared" si="20"/>
        <v>5556.5900097253161</v>
      </c>
      <c r="O206" s="98">
        <f t="shared" si="20"/>
        <v>5690.1857639552509</v>
      </c>
      <c r="P206" s="98">
        <f t="shared" si="20"/>
        <v>5720.4722765008109</v>
      </c>
      <c r="Q206" s="98">
        <f t="shared" si="20"/>
        <v>5802.9915915251704</v>
      </c>
      <c r="R206" s="98">
        <f t="shared" si="20"/>
        <v>5367.2926640344031</v>
      </c>
      <c r="S206" s="98">
        <f t="shared" si="20"/>
        <v>5129.783679665873</v>
      </c>
      <c r="T206" s="98">
        <f t="shared" si="20"/>
        <v>4902.7847459293434</v>
      </c>
      <c r="U206" s="98">
        <f t="shared" si="20"/>
        <v>4685.8307807792644</v>
      </c>
      <c r="V206" s="98">
        <f t="shared" si="20"/>
        <v>4478.4772825951095</v>
      </c>
      <c r="W206" s="98">
        <f t="shared" si="20"/>
        <v>4280.2994194734874</v>
      </c>
      <c r="X206" s="98">
        <f t="shared" si="20"/>
        <v>4090.8911588201163</v>
      </c>
      <c r="Y206" s="98">
        <f t="shared" si="20"/>
        <v>3909.8644354583921</v>
      </c>
      <c r="Z206" s="98">
        <f t="shared" si="20"/>
        <v>3736.8483565501215</v>
      </c>
      <c r="AA206" s="98">
        <f t="shared" si="20"/>
        <v>3571.4884416994382</v>
      </c>
      <c r="AB206" s="98">
        <f t="shared" si="20"/>
        <v>0</v>
      </c>
      <c r="AC206" s="98">
        <f t="shared" si="20"/>
        <v>0</v>
      </c>
      <c r="AD206" s="98">
        <f t="shared" si="20"/>
        <v>0</v>
      </c>
      <c r="AE206" s="98">
        <f t="shared" si="20"/>
        <v>0</v>
      </c>
      <c r="AF206" s="98">
        <f t="shared" si="20"/>
        <v>0</v>
      </c>
      <c r="AG206" s="98">
        <f t="shared" si="20"/>
        <v>0</v>
      </c>
      <c r="AH206" s="98">
        <f t="shared" si="20"/>
        <v>0</v>
      </c>
      <c r="AI206" s="98">
        <f t="shared" si="20"/>
        <v>0</v>
      </c>
      <c r="AJ206" s="98">
        <f t="shared" si="20"/>
        <v>0</v>
      </c>
      <c r="AK206" s="98">
        <f t="shared" si="20"/>
        <v>0</v>
      </c>
      <c r="AL206" s="98">
        <f t="shared" si="20"/>
        <v>0</v>
      </c>
      <c r="AM206" s="98">
        <f t="shared" si="20"/>
        <v>0</v>
      </c>
      <c r="AN206" s="98">
        <f t="shared" si="20"/>
        <v>0</v>
      </c>
      <c r="AO206" s="98">
        <f t="shared" si="20"/>
        <v>0</v>
      </c>
      <c r="AP206" s="98">
        <f t="shared" si="20"/>
        <v>0</v>
      </c>
    </row>
    <row r="207" spans="1:42" ht="15.75" outlineLevel="2" thickTop="1" x14ac:dyDescent="0.25">
      <c r="A207" s="156"/>
    </row>
    <row r="208" spans="1:42" outlineLevel="2" x14ac:dyDescent="0.25">
      <c r="A208" s="156"/>
      <c r="B208" s="6" t="s">
        <v>178</v>
      </c>
      <c r="C208" s="6" t="s">
        <v>61</v>
      </c>
      <c r="D208" s="39" t="str">
        <f>$C$192</f>
        <v>Variant 2a</v>
      </c>
      <c r="E208" s="225" t="s">
        <v>32</v>
      </c>
      <c r="F208" s="225"/>
      <c r="G208" s="225"/>
      <c r="H208" s="225"/>
      <c r="I208" s="225"/>
      <c r="J208" s="225"/>
      <c r="K208" s="225"/>
      <c r="L208" s="225" t="s">
        <v>33</v>
      </c>
      <c r="M208" s="225"/>
      <c r="N208" s="225"/>
      <c r="O208" s="225"/>
      <c r="P208" s="225"/>
      <c r="Q208" s="225"/>
      <c r="R208" s="225"/>
    </row>
    <row r="209" spans="1:18" outlineLevel="2" x14ac:dyDescent="0.25">
      <c r="A209" s="156"/>
      <c r="B209" s="6" t="s">
        <v>179</v>
      </c>
      <c r="C209" s="6" t="s">
        <v>35</v>
      </c>
      <c r="D209" s="65">
        <f>SUM(L206:AP206)</f>
        <v>73741.621605136213</v>
      </c>
      <c r="E209" s="251" t="s">
        <v>157</v>
      </c>
      <c r="F209" s="252"/>
      <c r="G209" s="252"/>
      <c r="H209" s="252"/>
      <c r="I209" s="252"/>
      <c r="J209" s="252"/>
      <c r="K209" s="253"/>
      <c r="L209" s="226"/>
      <c r="M209" s="226"/>
      <c r="N209" s="226"/>
      <c r="O209" s="226"/>
      <c r="P209" s="226"/>
      <c r="Q209" s="226"/>
      <c r="R209" s="226"/>
    </row>
    <row r="210" spans="1:18" outlineLevel="2" x14ac:dyDescent="0.25">
      <c r="A210" s="4"/>
    </row>
    <row r="211" spans="1:18" s="73" customFormat="1" ht="18" thickBot="1" x14ac:dyDescent="0.35">
      <c r="A211" s="73" t="s">
        <v>232</v>
      </c>
    </row>
    <row r="212" spans="1:18" ht="15.75" outlineLevel="1" thickTop="1" x14ac:dyDescent="0.25">
      <c r="A212" s="4"/>
    </row>
    <row r="213" spans="1:18" s="9" customFormat="1" ht="15.75" outlineLevel="1" thickBot="1" x14ac:dyDescent="0.3">
      <c r="A213" s="9" t="s">
        <v>180</v>
      </c>
    </row>
    <row r="214" spans="1:18" outlineLevel="2" x14ac:dyDescent="0.25"/>
    <row r="215" spans="1:18" outlineLevel="2" x14ac:dyDescent="0.25">
      <c r="B215" s="8"/>
      <c r="C215" s="6" t="s">
        <v>61</v>
      </c>
      <c r="D215" s="39" t="str">
        <f>"Variant"&amp;" "&amp;$A$17</f>
        <v>Variant 2a</v>
      </c>
      <c r="E215" s="39" t="str">
        <f>"Variant"&amp;" "&amp;$A$18</f>
        <v>Variant 2b</v>
      </c>
      <c r="F215" s="225" t="s">
        <v>32</v>
      </c>
      <c r="G215" s="225"/>
      <c r="H215" s="225"/>
      <c r="I215" s="225"/>
      <c r="J215" s="225"/>
      <c r="K215" s="225"/>
      <c r="L215" s="225" t="s">
        <v>33</v>
      </c>
      <c r="M215" s="225"/>
      <c r="N215" s="225"/>
      <c r="O215" s="225"/>
      <c r="P215" s="225"/>
      <c r="Q215" s="225"/>
      <c r="R215" s="225"/>
    </row>
    <row r="216" spans="1:18" outlineLevel="2" x14ac:dyDescent="0.25">
      <c r="B216" s="2" t="s">
        <v>47</v>
      </c>
      <c r="C216" s="5" t="s">
        <v>35</v>
      </c>
      <c r="D216" s="12">
        <f>D76</f>
        <v>164170</v>
      </c>
      <c r="E216" s="12">
        <f>E76</f>
        <v>25580</v>
      </c>
      <c r="F216" s="226"/>
      <c r="G216" s="226"/>
      <c r="H216" s="226"/>
      <c r="I216" s="226"/>
      <c r="J216" s="226"/>
      <c r="K216" s="226"/>
      <c r="L216" s="226"/>
      <c r="M216" s="226"/>
      <c r="N216" s="226"/>
      <c r="O216" s="226"/>
      <c r="P216" s="226"/>
      <c r="Q216" s="226"/>
      <c r="R216" s="226"/>
    </row>
    <row r="217" spans="1:18" outlineLevel="2" x14ac:dyDescent="0.25">
      <c r="A217" s="156" t="s">
        <v>38</v>
      </c>
      <c r="B217" s="2" t="s">
        <v>34</v>
      </c>
      <c r="C217" s="5" t="s">
        <v>35</v>
      </c>
      <c r="D217" s="12">
        <f>D91</f>
        <v>196900</v>
      </c>
      <c r="E217" s="12">
        <f>E91</f>
        <v>58310</v>
      </c>
      <c r="F217" s="226"/>
      <c r="G217" s="226"/>
      <c r="H217" s="226"/>
      <c r="I217" s="226"/>
      <c r="J217" s="226"/>
      <c r="K217" s="226"/>
      <c r="L217" s="226"/>
      <c r="M217" s="226"/>
      <c r="N217" s="226"/>
      <c r="O217" s="226"/>
      <c r="P217" s="226"/>
      <c r="Q217" s="226"/>
      <c r="R217" s="226"/>
    </row>
    <row r="218" spans="1:18" outlineLevel="2" x14ac:dyDescent="0.25">
      <c r="A218" s="156" t="s">
        <v>42</v>
      </c>
      <c r="B218" s="2" t="s">
        <v>159</v>
      </c>
      <c r="C218" s="5" t="s">
        <v>35</v>
      </c>
      <c r="D218" s="15">
        <f>D148</f>
        <v>218194.25136865728</v>
      </c>
      <c r="E218" s="15">
        <f>E148</f>
        <v>218194.25136865728</v>
      </c>
      <c r="F218" s="226"/>
      <c r="G218" s="226"/>
      <c r="H218" s="226"/>
      <c r="I218" s="226"/>
      <c r="J218" s="226"/>
      <c r="K218" s="226"/>
      <c r="L218" s="226"/>
      <c r="M218" s="226"/>
      <c r="N218" s="226"/>
      <c r="O218" s="226"/>
      <c r="P218" s="226"/>
      <c r="Q218" s="226"/>
      <c r="R218" s="226"/>
    </row>
    <row r="219" spans="1:18" ht="15.75" outlineLevel="2" thickBot="1" x14ac:dyDescent="0.3">
      <c r="A219" s="156" t="s">
        <v>46</v>
      </c>
      <c r="B219" s="17" t="s">
        <v>43</v>
      </c>
      <c r="C219" s="49" t="s">
        <v>35</v>
      </c>
      <c r="D219" s="18">
        <f>D216-D217+D218</f>
        <v>185464.25136865728</v>
      </c>
      <c r="E219" s="18">
        <f t="shared" ref="E219" si="21">E216-E217+E218</f>
        <v>185464.25136865728</v>
      </c>
      <c r="F219" s="226"/>
      <c r="G219" s="226"/>
      <c r="H219" s="226"/>
      <c r="I219" s="226"/>
      <c r="J219" s="226"/>
      <c r="K219" s="226"/>
      <c r="L219" s="226"/>
      <c r="M219" s="226"/>
      <c r="N219" s="226"/>
      <c r="O219" s="226"/>
      <c r="P219" s="226"/>
      <c r="Q219" s="226"/>
      <c r="R219" s="226"/>
    </row>
    <row r="220" spans="1:18" ht="15.75" outlineLevel="2" thickTop="1" x14ac:dyDescent="0.25"/>
    <row r="221" spans="1:18" outlineLevel="1" x14ac:dyDescent="0.25"/>
  </sheetData>
  <mergeCells count="242">
    <mergeCell ref="L113:R113"/>
    <mergeCell ref="L106:R106"/>
    <mergeCell ref="L87:R87"/>
    <mergeCell ref="L88:R88"/>
    <mergeCell ref="L89:R89"/>
    <mergeCell ref="L90:R90"/>
    <mergeCell ref="L91:R91"/>
    <mergeCell ref="L97:R97"/>
    <mergeCell ref="L100:R104"/>
    <mergeCell ref="L137:R137"/>
    <mergeCell ref="L138:R138"/>
    <mergeCell ref="L139:R139"/>
    <mergeCell ref="L146:R146"/>
    <mergeCell ref="L147:R147"/>
    <mergeCell ref="L148:R148"/>
    <mergeCell ref="L155:R155"/>
    <mergeCell ref="L158:R158"/>
    <mergeCell ref="L159:R159"/>
    <mergeCell ref="L157:R157"/>
    <mergeCell ref="L154:R154"/>
    <mergeCell ref="L145:R145"/>
    <mergeCell ref="L134:R134"/>
    <mergeCell ref="L135:R135"/>
    <mergeCell ref="L136:R136"/>
    <mergeCell ref="L133:R133"/>
    <mergeCell ref="L129:R131"/>
    <mergeCell ref="L118:R118"/>
    <mergeCell ref="L119:R119"/>
    <mergeCell ref="L120:R120"/>
    <mergeCell ref="L121:R121"/>
    <mergeCell ref="L124:R124"/>
    <mergeCell ref="L123:R123"/>
    <mergeCell ref="L125:R127"/>
    <mergeCell ref="L28:R28"/>
    <mergeCell ref="L29:R29"/>
    <mergeCell ref="L30:R30"/>
    <mergeCell ref="L31:R31"/>
    <mergeCell ref="L32:R32"/>
    <mergeCell ref="L35:R35"/>
    <mergeCell ref="L36:R36"/>
    <mergeCell ref="L37:R37"/>
    <mergeCell ref="L40:R40"/>
    <mergeCell ref="L34:R34"/>
    <mergeCell ref="F41:K41"/>
    <mergeCell ref="F42:K42"/>
    <mergeCell ref="F45:K45"/>
    <mergeCell ref="F50:K50"/>
    <mergeCell ref="F51:K51"/>
    <mergeCell ref="F52:K52"/>
    <mergeCell ref="F44:K44"/>
    <mergeCell ref="F49:K49"/>
    <mergeCell ref="L39:R39"/>
    <mergeCell ref="F40:K40"/>
    <mergeCell ref="L41:R41"/>
    <mergeCell ref="L42:R42"/>
    <mergeCell ref="L45:R45"/>
    <mergeCell ref="L50:R50"/>
    <mergeCell ref="L51:R51"/>
    <mergeCell ref="L52:R52"/>
    <mergeCell ref="L57:R57"/>
    <mergeCell ref="L58:R58"/>
    <mergeCell ref="L49:R49"/>
    <mergeCell ref="L44:R44"/>
    <mergeCell ref="H70:K70"/>
    <mergeCell ref="D71:G71"/>
    <mergeCell ref="H71:K71"/>
    <mergeCell ref="L99:R99"/>
    <mergeCell ref="L96:R96"/>
    <mergeCell ref="L82:R82"/>
    <mergeCell ref="L75:R75"/>
    <mergeCell ref="F56:K56"/>
    <mergeCell ref="F63:K63"/>
    <mergeCell ref="L59:R59"/>
    <mergeCell ref="F88:K88"/>
    <mergeCell ref="F89:K89"/>
    <mergeCell ref="F90:K90"/>
    <mergeCell ref="F91:K91"/>
    <mergeCell ref="F97:K97"/>
    <mergeCell ref="F100:K100"/>
    <mergeCell ref="F101:K101"/>
    <mergeCell ref="F133:K133"/>
    <mergeCell ref="L64:R64"/>
    <mergeCell ref="L76:R76"/>
    <mergeCell ref="L83:R83"/>
    <mergeCell ref="L84:R84"/>
    <mergeCell ref="L85:R85"/>
    <mergeCell ref="L86:R86"/>
    <mergeCell ref="F96:K96"/>
    <mergeCell ref="F99:K99"/>
    <mergeCell ref="F106:K106"/>
    <mergeCell ref="F76:K76"/>
    <mergeCell ref="F83:K83"/>
    <mergeCell ref="F84:K84"/>
    <mergeCell ref="F85:K85"/>
    <mergeCell ref="F75:K75"/>
    <mergeCell ref="F82:K82"/>
    <mergeCell ref="D70:G70"/>
    <mergeCell ref="L128:R128"/>
    <mergeCell ref="L107:R108"/>
    <mergeCell ref="L109:R111"/>
    <mergeCell ref="L115:R117"/>
    <mergeCell ref="L114:R114"/>
    <mergeCell ref="F34:K34"/>
    <mergeCell ref="F39:K39"/>
    <mergeCell ref="F148:K148"/>
    <mergeCell ref="F155:K155"/>
    <mergeCell ref="F158:K158"/>
    <mergeCell ref="F159:K159"/>
    <mergeCell ref="F102:K102"/>
    <mergeCell ref="F103:K103"/>
    <mergeCell ref="F104:K104"/>
    <mergeCell ref="F107:K107"/>
    <mergeCell ref="F108:K108"/>
    <mergeCell ref="F109:K109"/>
    <mergeCell ref="F110:K110"/>
    <mergeCell ref="F111:K111"/>
    <mergeCell ref="F114:K114"/>
    <mergeCell ref="F145:K145"/>
    <mergeCell ref="F154:K154"/>
    <mergeCell ref="F157:K157"/>
    <mergeCell ref="F113:K113"/>
    <mergeCell ref="F123:K123"/>
    <mergeCell ref="F137:K137"/>
    <mergeCell ref="F138:K138"/>
    <mergeCell ref="F86:K86"/>
    <mergeCell ref="F87:K87"/>
    <mergeCell ref="B8:H8"/>
    <mergeCell ref="J8:Q8"/>
    <mergeCell ref="B12:Q12"/>
    <mergeCell ref="B26:G26"/>
    <mergeCell ref="E66:K66"/>
    <mergeCell ref="L66:R66"/>
    <mergeCell ref="E67:K67"/>
    <mergeCell ref="L67:R67"/>
    <mergeCell ref="D69:G69"/>
    <mergeCell ref="H69:K69"/>
    <mergeCell ref="F57:K57"/>
    <mergeCell ref="F58:K58"/>
    <mergeCell ref="F59:K59"/>
    <mergeCell ref="F64:K64"/>
    <mergeCell ref="L63:R63"/>
    <mergeCell ref="L56:R56"/>
    <mergeCell ref="F28:K28"/>
    <mergeCell ref="F29:K29"/>
    <mergeCell ref="F30:K30"/>
    <mergeCell ref="F31:K31"/>
    <mergeCell ref="F32:K32"/>
    <mergeCell ref="F35:K35"/>
    <mergeCell ref="F36:K36"/>
    <mergeCell ref="F37:K37"/>
    <mergeCell ref="D205:G205"/>
    <mergeCell ref="H205:K205"/>
    <mergeCell ref="L199:AP199"/>
    <mergeCell ref="D200:G200"/>
    <mergeCell ref="H200:K200"/>
    <mergeCell ref="D201:G201"/>
    <mergeCell ref="H201:K201"/>
    <mergeCell ref="D202:G202"/>
    <mergeCell ref="D203:G203"/>
    <mergeCell ref="H203:K203"/>
    <mergeCell ref="D204:G204"/>
    <mergeCell ref="F216:K216"/>
    <mergeCell ref="F217:K217"/>
    <mergeCell ref="F218:K218"/>
    <mergeCell ref="F219:K219"/>
    <mergeCell ref="L216:R216"/>
    <mergeCell ref="L217:R217"/>
    <mergeCell ref="L218:R218"/>
    <mergeCell ref="L219:R219"/>
    <mergeCell ref="L215:R215"/>
    <mergeCell ref="F215:K215"/>
    <mergeCell ref="L175:R175"/>
    <mergeCell ref="B166:R166"/>
    <mergeCell ref="E162:K162"/>
    <mergeCell ref="L162:R162"/>
    <mergeCell ref="E172:K172"/>
    <mergeCell ref="L172:R172"/>
    <mergeCell ref="E173:K173"/>
    <mergeCell ref="L173:R173"/>
    <mergeCell ref="E174:K174"/>
    <mergeCell ref="L174:R174"/>
    <mergeCell ref="E197:K197"/>
    <mergeCell ref="L197:R197"/>
    <mergeCell ref="D182:G182"/>
    <mergeCell ref="H182:K182"/>
    <mergeCell ref="D183:G183"/>
    <mergeCell ref="H183:K183"/>
    <mergeCell ref="E185:K185"/>
    <mergeCell ref="L185:R185"/>
    <mergeCell ref="D180:G180"/>
    <mergeCell ref="H180:K180"/>
    <mergeCell ref="D181:G181"/>
    <mergeCell ref="H181:K181"/>
    <mergeCell ref="B190:R190"/>
    <mergeCell ref="D206:G206"/>
    <mergeCell ref="H206:K206"/>
    <mergeCell ref="E208:K208"/>
    <mergeCell ref="L208:R208"/>
    <mergeCell ref="E209:K209"/>
    <mergeCell ref="L209:R209"/>
    <mergeCell ref="L186:R186"/>
    <mergeCell ref="B123:C123"/>
    <mergeCell ref="B124:C124"/>
    <mergeCell ref="B128:C128"/>
    <mergeCell ref="D177:G177"/>
    <mergeCell ref="H177:K177"/>
    <mergeCell ref="D178:G178"/>
    <mergeCell ref="H178:K178"/>
    <mergeCell ref="L161:R161"/>
    <mergeCell ref="F124:K124"/>
    <mergeCell ref="F125:K125"/>
    <mergeCell ref="F126:K126"/>
    <mergeCell ref="F127:K127"/>
    <mergeCell ref="F128:K128"/>
    <mergeCell ref="H204:K204"/>
    <mergeCell ref="H202:K202"/>
    <mergeCell ref="E196:K196"/>
    <mergeCell ref="L196:R196"/>
    <mergeCell ref="B113:C113"/>
    <mergeCell ref="B114:C114"/>
    <mergeCell ref="B118:C118"/>
    <mergeCell ref="E186:K186"/>
    <mergeCell ref="F115:K115"/>
    <mergeCell ref="F116:K116"/>
    <mergeCell ref="F117:K117"/>
    <mergeCell ref="F118:K118"/>
    <mergeCell ref="F119:K119"/>
    <mergeCell ref="F120:K120"/>
    <mergeCell ref="F121:K121"/>
    <mergeCell ref="F129:K129"/>
    <mergeCell ref="F130:K130"/>
    <mergeCell ref="F131:K131"/>
    <mergeCell ref="F134:K134"/>
    <mergeCell ref="F135:K135"/>
    <mergeCell ref="F136:K136"/>
    <mergeCell ref="E175:K175"/>
    <mergeCell ref="E161:K161"/>
    <mergeCell ref="D179:G179"/>
    <mergeCell ref="H179:K179"/>
    <mergeCell ref="F139:K139"/>
    <mergeCell ref="F146:K146"/>
    <mergeCell ref="F147:K147"/>
  </mergeCells>
  <conditionalFormatting sqref="D45:E45 D46:J46 D55:E55">
    <cfRule type="cellIs" dxfId="11" priority="25" operator="equal">
      <formula>"pass"</formula>
    </cfRule>
    <cfRule type="cellIs" dxfId="10" priority="26" operator="equal">
      <formula>"fail"</formula>
    </cfRule>
  </conditionalFormatting>
  <conditionalFormatting sqref="D119:E121">
    <cfRule type="expression" dxfId="9" priority="3">
      <formula>D115="No"</formula>
    </cfRule>
  </conditionalFormatting>
  <conditionalFormatting sqref="D129:E131">
    <cfRule type="expression" dxfId="8" priority="1">
      <formula>D125="No"</formula>
    </cfRule>
  </conditionalFormatting>
  <conditionalFormatting sqref="D48:J48">
    <cfRule type="cellIs" dxfId="7" priority="23" operator="equal">
      <formula>"pass"</formula>
    </cfRule>
    <cfRule type="cellIs" dxfId="6" priority="24" operator="equal">
      <formula>"fail"</formula>
    </cfRule>
  </conditionalFormatting>
  <dataValidations disablePrompts="1" count="1">
    <dataValidation type="list" allowBlank="1" showInputMessage="1" showErrorMessage="1" sqref="C20" xr:uid="{BBADE018-41E6-476F-B9C7-649A46A7ABA0}">
      <formula1>$D$28:$E$28</formula1>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743E233-9AEA-43EF-A6CD-62230D84A184}">
          <x14:formula1>
            <xm:f>'Network costing zones'!$D$4:$F$4</xm:f>
          </x14:formula1>
          <xm:sqref>C98 D97:E97</xm:sqref>
        </x14:dataValidation>
        <x14:dataValidation type="list" allowBlank="1" showInputMessage="1" showErrorMessage="1" xr:uid="{83471F89-03FC-4BD8-9E3D-58287E0611E2}">
          <x14:formula1>
            <xm:f>List!$A$2:$A$3</xm:f>
          </x14:formula1>
          <xm:sqref>D115:E117 D125:E127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CB7C-D56D-4D30-8394-2FA05532750A}">
  <dimension ref="A1:AP225"/>
  <sheetViews>
    <sheetView topLeftCell="B1" zoomScale="70" zoomScaleNormal="70" workbookViewId="0">
      <pane ySplit="1" topLeftCell="A166" activePane="bottomLeft" state="frozen"/>
      <selection pane="bottomLeft" activeCell="L206" sqref="L206"/>
    </sheetView>
  </sheetViews>
  <sheetFormatPr defaultColWidth="9.140625" defaultRowHeight="15" outlineLevelRow="3" x14ac:dyDescent="0.25"/>
  <cols>
    <col min="1" max="1" width="10.85546875" style="2" customWidth="1"/>
    <col min="2" max="2" width="42.140625" style="2" customWidth="1"/>
    <col min="3" max="3" width="10.85546875" style="2" customWidth="1"/>
    <col min="4" max="42" width="18.85546875" style="2" customWidth="1"/>
    <col min="43" max="16384" width="9.140625" style="2"/>
  </cols>
  <sheetData>
    <row r="1" spans="1:42" s="1" customFormat="1" ht="20.25" thickBot="1" x14ac:dyDescent="0.35">
      <c r="A1" s="1" t="s">
        <v>233</v>
      </c>
      <c r="H1" s="1" t="s">
        <v>1</v>
      </c>
      <c r="I1" s="201" t="s">
        <v>2</v>
      </c>
      <c r="J1" s="202" t="s">
        <v>3</v>
      </c>
      <c r="K1" s="203" t="s">
        <v>4</v>
      </c>
      <c r="L1" s="204" t="s">
        <v>5</v>
      </c>
      <c r="M1" s="200" t="s">
        <v>303</v>
      </c>
    </row>
    <row r="2" spans="1:42" s="1" customFormat="1" ht="20.100000000000001" customHeight="1" thickTop="1" thickBot="1" x14ac:dyDescent="0.35">
      <c r="A2" s="159" t="s">
        <v>30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s="1" customFormat="1" ht="15" customHeight="1" thickTop="1" thickBot="1" x14ac:dyDescent="0.35">
      <c r="A3" s="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s="73" customFormat="1" ht="18.75" thickTop="1" thickBot="1" x14ac:dyDescent="0.35">
      <c r="A4" s="73" t="s">
        <v>6</v>
      </c>
    </row>
    <row r="5" spans="1:42" ht="15.75" outlineLevel="1" thickTop="1" x14ac:dyDescent="0.25"/>
    <row r="6" spans="1:42" outlineLevel="1" x14ac:dyDescent="0.25">
      <c r="B6" s="8" t="s">
        <v>7</v>
      </c>
      <c r="K6" s="8" t="s">
        <v>8</v>
      </c>
      <c r="L6" s="8"/>
      <c r="M6" s="8"/>
      <c r="N6" s="8"/>
    </row>
    <row r="7" spans="1:42" outlineLevel="1" x14ac:dyDescent="0.25"/>
    <row r="8" spans="1:42" ht="35.1" customHeight="1" outlineLevel="1" x14ac:dyDescent="0.25">
      <c r="B8" s="239" t="s">
        <v>234</v>
      </c>
      <c r="C8" s="239"/>
      <c r="D8" s="239"/>
      <c r="E8" s="239"/>
      <c r="F8" s="239"/>
      <c r="G8" s="239"/>
      <c r="H8" s="239"/>
      <c r="I8" s="239"/>
      <c r="K8" s="239" t="s">
        <v>9</v>
      </c>
      <c r="L8" s="239"/>
      <c r="M8" s="239"/>
      <c r="N8" s="239"/>
      <c r="O8" s="239"/>
      <c r="P8" s="239"/>
      <c r="Q8" s="239"/>
      <c r="R8" s="239"/>
    </row>
    <row r="9" spans="1:42" ht="14.45" customHeight="1" outlineLevel="1" x14ac:dyDescent="0.25">
      <c r="B9" s="71"/>
      <c r="C9" s="71"/>
      <c r="D9" s="71"/>
      <c r="E9" s="71"/>
      <c r="F9" s="71"/>
      <c r="G9" s="71"/>
      <c r="H9" s="71"/>
      <c r="J9" s="71"/>
      <c r="K9" s="71"/>
      <c r="L9" s="71"/>
      <c r="M9" s="71"/>
      <c r="N9" s="71"/>
      <c r="O9" s="71"/>
      <c r="P9" s="71"/>
      <c r="Q9" s="71"/>
      <c r="R9" s="71"/>
      <c r="S9" s="71"/>
    </row>
    <row r="10" spans="1:42" ht="14.45" customHeight="1" outlineLevel="1" x14ac:dyDescent="0.25">
      <c r="B10" s="8" t="s">
        <v>10</v>
      </c>
      <c r="C10" s="71"/>
      <c r="D10" s="71"/>
      <c r="E10" s="71"/>
      <c r="F10" s="71"/>
      <c r="G10" s="71"/>
      <c r="H10" s="71"/>
      <c r="J10" s="71"/>
      <c r="K10" s="71"/>
      <c r="L10" s="71"/>
      <c r="M10" s="71"/>
      <c r="N10" s="71"/>
      <c r="O10" s="71"/>
      <c r="P10" s="71"/>
      <c r="Q10" s="71"/>
      <c r="R10" s="71"/>
      <c r="S10" s="71"/>
    </row>
    <row r="11" spans="1:42" ht="14.45" customHeight="1" outlineLevel="1" x14ac:dyDescent="0.25">
      <c r="B11" s="71"/>
      <c r="C11" s="71"/>
      <c r="D11" s="71"/>
      <c r="E11" s="71"/>
      <c r="F11" s="71"/>
      <c r="G11" s="71"/>
      <c r="H11" s="71"/>
      <c r="J11" s="71"/>
      <c r="K11" s="71"/>
      <c r="L11" s="71"/>
      <c r="M11" s="71"/>
      <c r="N11" s="71"/>
      <c r="O11" s="71"/>
      <c r="P11" s="71"/>
      <c r="Q11" s="71"/>
      <c r="R11" s="71"/>
      <c r="S11" s="71"/>
    </row>
    <row r="12" spans="1:42" ht="60" customHeight="1" outlineLevel="1" x14ac:dyDescent="0.25">
      <c r="B12" s="258" t="s">
        <v>235</v>
      </c>
      <c r="C12" s="258"/>
      <c r="D12" s="258"/>
      <c r="E12" s="258"/>
      <c r="F12" s="258"/>
      <c r="G12" s="258"/>
      <c r="H12" s="258"/>
      <c r="I12" s="258"/>
      <c r="J12" s="258"/>
      <c r="K12" s="258"/>
      <c r="L12" s="258"/>
      <c r="M12" s="258"/>
      <c r="N12" s="258"/>
      <c r="O12" s="258"/>
      <c r="P12" s="258"/>
      <c r="Q12" s="258"/>
      <c r="R12" s="258"/>
      <c r="S12" s="71"/>
    </row>
    <row r="13" spans="1:42" outlineLevel="1" x14ac:dyDescent="0.25">
      <c r="B13" s="2" t="s">
        <v>11</v>
      </c>
    </row>
    <row r="14" spans="1:42" s="73" customFormat="1" ht="18" thickBot="1" x14ac:dyDescent="0.35">
      <c r="A14" s="73" t="s">
        <v>12</v>
      </c>
    </row>
    <row r="15" spans="1:42" ht="15.75" outlineLevel="1" thickTop="1" x14ac:dyDescent="0.25"/>
    <row r="16" spans="1:42" outlineLevel="1" x14ac:dyDescent="0.25">
      <c r="B16" s="7" t="s">
        <v>13</v>
      </c>
    </row>
    <row r="17" spans="1:18" outlineLevel="1" x14ac:dyDescent="0.25">
      <c r="A17" s="28" t="s">
        <v>236</v>
      </c>
      <c r="B17" s="29" t="s">
        <v>237</v>
      </c>
    </row>
    <row r="18" spans="1:18" outlineLevel="1" x14ac:dyDescent="0.25">
      <c r="A18" s="28" t="s">
        <v>238</v>
      </c>
      <c r="B18" s="29" t="s">
        <v>239</v>
      </c>
    </row>
    <row r="19" spans="1:18" outlineLevel="1" x14ac:dyDescent="0.25">
      <c r="A19" s="28" t="s">
        <v>240</v>
      </c>
      <c r="B19" s="29" t="s">
        <v>241</v>
      </c>
    </row>
    <row r="20" spans="1:18" outlineLevel="1" x14ac:dyDescent="0.25">
      <c r="A20" s="28" t="s">
        <v>242</v>
      </c>
      <c r="B20" s="29" t="s">
        <v>243</v>
      </c>
    </row>
    <row r="21" spans="1:18" ht="15.75" outlineLevel="1" thickBot="1" x14ac:dyDescent="0.3">
      <c r="A21" s="28"/>
      <c r="B21" s="29"/>
    </row>
    <row r="22" spans="1:18" s="149" customFormat="1" ht="21.75" outlineLevel="1" thickBot="1" x14ac:dyDescent="0.4">
      <c r="A22" s="145"/>
      <c r="B22" s="146" t="s">
        <v>28</v>
      </c>
      <c r="C22" s="147" t="s">
        <v>244</v>
      </c>
      <c r="D22" s="148"/>
      <c r="E22" s="29" t="s">
        <v>189</v>
      </c>
    </row>
    <row r="23" spans="1:18" ht="14.45" customHeight="1" outlineLevel="1" x14ac:dyDescent="0.25">
      <c r="A23" s="28"/>
      <c r="C23" s="150"/>
      <c r="F23" s="144"/>
    </row>
    <row r="24" spans="1:18" ht="14.45" customHeight="1" outlineLevel="1" x14ac:dyDescent="0.25">
      <c r="A24" s="28"/>
      <c r="C24" s="150" t="str">
        <f>_xlfn.XLOOKUP(Sc3_variant,$D$161:$G$161,$D$162:$G$162)</f>
        <v>Variant 3b customer</v>
      </c>
      <c r="F24" s="144"/>
    </row>
    <row r="25" spans="1:18" outlineLevel="1" x14ac:dyDescent="0.25"/>
    <row r="26" spans="1:18" s="73" customFormat="1" ht="18" thickBot="1" x14ac:dyDescent="0.35">
      <c r="A26" s="73" t="s">
        <v>29</v>
      </c>
    </row>
    <row r="27" spans="1:18" ht="15.75" outlineLevel="1" thickTop="1" x14ac:dyDescent="0.25"/>
    <row r="28" spans="1:18" outlineLevel="1" x14ac:dyDescent="0.25">
      <c r="B28" s="256" t="s">
        <v>31</v>
      </c>
      <c r="C28" s="256"/>
      <c r="D28" s="256"/>
      <c r="E28" s="256"/>
      <c r="F28" s="256"/>
      <c r="G28" s="256"/>
    </row>
    <row r="29" spans="1:18" outlineLevel="1" x14ac:dyDescent="0.25">
      <c r="B29" s="22"/>
      <c r="C29" s="22"/>
      <c r="D29" s="8"/>
      <c r="E29" s="22"/>
      <c r="F29" s="22"/>
      <c r="H29" s="22"/>
      <c r="I29" s="22"/>
      <c r="J29" s="22"/>
    </row>
    <row r="30" spans="1:18" outlineLevel="1" x14ac:dyDescent="0.25">
      <c r="A30" s="156"/>
      <c r="D30" s="39" t="str">
        <f>"Variant"&amp;" "&amp;$A$17</f>
        <v>Variant 3a</v>
      </c>
      <c r="E30" s="39" t="str">
        <f>"Variant"&amp;" "&amp;$A$18</f>
        <v>Variant 3b</v>
      </c>
      <c r="F30" s="39" t="str">
        <f>"Variant"&amp;" "&amp;$A$19</f>
        <v>Variant 3c</v>
      </c>
      <c r="G30" s="39" t="str">
        <f>"Variant"&amp;" "&amp;$A$20</f>
        <v>Variant 3d</v>
      </c>
      <c r="H30" s="225" t="s">
        <v>32</v>
      </c>
      <c r="I30" s="225"/>
      <c r="J30" s="225"/>
      <c r="K30" s="225"/>
      <c r="L30" s="225"/>
      <c r="M30" s="225" t="s">
        <v>33</v>
      </c>
      <c r="N30" s="225"/>
      <c r="O30" s="225"/>
      <c r="P30" s="225"/>
      <c r="Q30" s="225"/>
      <c r="R30" s="225"/>
    </row>
    <row r="31" spans="1:18" ht="14.45" customHeight="1" outlineLevel="1" x14ac:dyDescent="0.25">
      <c r="A31" s="156"/>
      <c r="B31" s="2" t="s">
        <v>34</v>
      </c>
      <c r="C31" s="5" t="s">
        <v>35</v>
      </c>
      <c r="D31" s="26">
        <f>D94</f>
        <v>2255120.8316294411</v>
      </c>
      <c r="E31" s="26">
        <f>E94</f>
        <v>6619822.9273563847</v>
      </c>
      <c r="F31" s="26">
        <f>F94</f>
        <v>1995120.8316294411</v>
      </c>
      <c r="G31" s="26">
        <f>G94</f>
        <v>2275120.8316294411</v>
      </c>
      <c r="H31" s="226" t="s">
        <v>36</v>
      </c>
      <c r="I31" s="226"/>
      <c r="J31" s="226"/>
      <c r="K31" s="226"/>
      <c r="L31" s="226"/>
      <c r="M31" s="236" t="s">
        <v>41</v>
      </c>
      <c r="N31" s="237"/>
      <c r="O31" s="237"/>
      <c r="P31" s="237"/>
      <c r="Q31" s="237"/>
      <c r="R31" s="238"/>
    </row>
    <row r="32" spans="1:18" ht="14.45" customHeight="1" outlineLevel="1" x14ac:dyDescent="0.25">
      <c r="A32" s="156" t="s">
        <v>38</v>
      </c>
      <c r="B32" s="2" t="s">
        <v>39</v>
      </c>
      <c r="C32" s="5" t="s">
        <v>35</v>
      </c>
      <c r="D32" s="26">
        <f>D44</f>
        <v>2981334.6620994695</v>
      </c>
      <c r="E32" s="26">
        <f t="shared" ref="E32:G32" si="0">E44</f>
        <v>6774889.5220570862</v>
      </c>
      <c r="F32" s="26">
        <f t="shared" si="0"/>
        <v>2923023.1649840022</v>
      </c>
      <c r="G32" s="26">
        <f t="shared" si="0"/>
        <v>2981334.6620994695</v>
      </c>
      <c r="H32" s="226" t="s">
        <v>40</v>
      </c>
      <c r="I32" s="226"/>
      <c r="J32" s="226"/>
      <c r="K32" s="226"/>
      <c r="L32" s="226"/>
      <c r="M32" s="236" t="s">
        <v>245</v>
      </c>
      <c r="N32" s="237"/>
      <c r="O32" s="237"/>
      <c r="P32" s="237"/>
      <c r="Q32" s="237"/>
      <c r="R32" s="238"/>
    </row>
    <row r="33" spans="1:19" ht="14.45" customHeight="1" outlineLevel="1" x14ac:dyDescent="0.25">
      <c r="A33" s="156" t="s">
        <v>42</v>
      </c>
      <c r="B33" s="2" t="s">
        <v>43</v>
      </c>
      <c r="C33" s="5" t="s">
        <v>35</v>
      </c>
      <c r="D33" s="26">
        <f>D223</f>
        <v>2870213.8304700283</v>
      </c>
      <c r="E33" s="26">
        <f t="shared" ref="E33:G33" si="1">E223</f>
        <v>3444403.8020026227</v>
      </c>
      <c r="F33" s="26">
        <f t="shared" si="1"/>
        <v>2811902.3333545611</v>
      </c>
      <c r="G33" s="26">
        <f t="shared" si="1"/>
        <v>2870213.8304700283</v>
      </c>
      <c r="H33" s="226" t="s">
        <v>44</v>
      </c>
      <c r="I33" s="226"/>
      <c r="J33" s="226"/>
      <c r="K33" s="226"/>
      <c r="L33" s="226"/>
      <c r="M33" s="236" t="s">
        <v>246</v>
      </c>
      <c r="N33" s="237"/>
      <c r="O33" s="237"/>
      <c r="P33" s="237"/>
      <c r="Q33" s="237"/>
      <c r="R33" s="238"/>
    </row>
    <row r="34" spans="1:19" ht="15" customHeight="1" outlineLevel="1" thickBot="1" x14ac:dyDescent="0.3">
      <c r="A34" s="156" t="s">
        <v>46</v>
      </c>
      <c r="B34" s="17" t="s">
        <v>47</v>
      </c>
      <c r="C34" s="16" t="s">
        <v>35</v>
      </c>
      <c r="D34" s="98">
        <f>D31-D32+D33</f>
        <v>2144000</v>
      </c>
      <c r="E34" s="98">
        <f t="shared" ref="E34:G34" si="2">E31-E32+E33</f>
        <v>3289337.2073019212</v>
      </c>
      <c r="F34" s="98">
        <f t="shared" si="2"/>
        <v>1884000</v>
      </c>
      <c r="G34" s="98">
        <f t="shared" si="2"/>
        <v>2164000</v>
      </c>
      <c r="H34" s="226" t="s">
        <v>48</v>
      </c>
      <c r="I34" s="226"/>
      <c r="J34" s="226"/>
      <c r="K34" s="226"/>
      <c r="L34" s="226"/>
      <c r="M34" s="236" t="s">
        <v>37</v>
      </c>
      <c r="N34" s="237"/>
      <c r="O34" s="237"/>
      <c r="P34" s="237"/>
      <c r="Q34" s="237"/>
      <c r="R34" s="238"/>
    </row>
    <row r="35" spans="1:19" ht="15.75" outlineLevel="1" thickTop="1" x14ac:dyDescent="0.25">
      <c r="A35" s="156"/>
      <c r="B35" s="7"/>
      <c r="D35" s="37"/>
      <c r="E35" s="37"/>
      <c r="F35" s="37"/>
      <c r="G35" s="37"/>
      <c r="H35" s="37"/>
    </row>
    <row r="36" spans="1:19" outlineLevel="1" x14ac:dyDescent="0.25">
      <c r="A36" s="156"/>
      <c r="B36" s="7"/>
      <c r="D36" s="39" t="str">
        <f>"Variant"&amp;" "&amp;$A$17</f>
        <v>Variant 3a</v>
      </c>
      <c r="E36" s="39" t="str">
        <f>"Variant"&amp;" "&amp;$A$18</f>
        <v>Variant 3b</v>
      </c>
      <c r="F36" s="39" t="str">
        <f>"Variant"&amp;" "&amp;$A$19</f>
        <v>Variant 3c</v>
      </c>
      <c r="G36" s="39" t="str">
        <f>"Variant"&amp;" "&amp;$A$20</f>
        <v>Variant 3d</v>
      </c>
      <c r="H36" s="225" t="s">
        <v>32</v>
      </c>
      <c r="I36" s="225"/>
      <c r="J36" s="225"/>
      <c r="K36" s="225"/>
      <c r="L36" s="225"/>
      <c r="M36" s="225" t="s">
        <v>33</v>
      </c>
      <c r="N36" s="225"/>
      <c r="O36" s="225"/>
      <c r="P36" s="225"/>
      <c r="Q36" s="225"/>
      <c r="R36" s="225"/>
    </row>
    <row r="37" spans="1:19" ht="14.45" customHeight="1" outlineLevel="1" x14ac:dyDescent="0.25">
      <c r="A37" s="156" t="s">
        <v>49</v>
      </c>
      <c r="B37" s="2" t="s">
        <v>34</v>
      </c>
      <c r="C37" s="5" t="s">
        <v>35</v>
      </c>
      <c r="D37" s="26">
        <f>D31</f>
        <v>2255120.8316294411</v>
      </c>
      <c r="E37" s="26">
        <f t="shared" ref="E37:G38" si="3">E31</f>
        <v>6619822.9273563847</v>
      </c>
      <c r="F37" s="26">
        <f t="shared" si="3"/>
        <v>1995120.8316294411</v>
      </c>
      <c r="G37" s="26">
        <f t="shared" si="3"/>
        <v>2275120.8316294411</v>
      </c>
      <c r="H37" s="226" t="s">
        <v>36</v>
      </c>
      <c r="I37" s="226"/>
      <c r="J37" s="226"/>
      <c r="K37" s="226"/>
      <c r="L37" s="226"/>
      <c r="M37" s="236" t="s">
        <v>41</v>
      </c>
      <c r="N37" s="237"/>
      <c r="O37" s="237"/>
      <c r="P37" s="237"/>
      <c r="Q37" s="237"/>
      <c r="R37" s="238"/>
    </row>
    <row r="38" spans="1:19" ht="14.45" customHeight="1" outlineLevel="1" x14ac:dyDescent="0.25">
      <c r="A38" s="156" t="s">
        <v>38</v>
      </c>
      <c r="B38" s="2" t="s">
        <v>39</v>
      </c>
      <c r="C38" s="5" t="s">
        <v>35</v>
      </c>
      <c r="D38" s="26">
        <f>D32</f>
        <v>2981334.6620994695</v>
      </c>
      <c r="E38" s="26">
        <f t="shared" si="3"/>
        <v>6774889.5220570862</v>
      </c>
      <c r="F38" s="26">
        <f t="shared" si="3"/>
        <v>2923023.1649840022</v>
      </c>
      <c r="G38" s="26">
        <f t="shared" si="3"/>
        <v>2981334.6620994695</v>
      </c>
      <c r="H38" s="226" t="s">
        <v>40</v>
      </c>
      <c r="I38" s="226"/>
      <c r="J38" s="226"/>
      <c r="K38" s="226"/>
      <c r="L38" s="226"/>
      <c r="M38" s="236" t="s">
        <v>245</v>
      </c>
      <c r="N38" s="237"/>
      <c r="O38" s="237"/>
      <c r="P38" s="237"/>
      <c r="Q38" s="237"/>
      <c r="R38" s="238"/>
    </row>
    <row r="39" spans="1:19" ht="15" customHeight="1" outlineLevel="1" thickBot="1" x14ac:dyDescent="0.3">
      <c r="A39" s="156" t="s">
        <v>46</v>
      </c>
      <c r="B39" s="70" t="s">
        <v>50</v>
      </c>
      <c r="C39" s="16" t="s">
        <v>35</v>
      </c>
      <c r="D39" s="98">
        <f>D37-D38</f>
        <v>-726213.83047002833</v>
      </c>
      <c r="E39" s="98">
        <f t="shared" ref="E39:G39" si="4">E37-E38</f>
        <v>-155066.59470070153</v>
      </c>
      <c r="F39" s="98">
        <f t="shared" si="4"/>
        <v>-927902.33335456112</v>
      </c>
      <c r="G39" s="98">
        <f t="shared" si="4"/>
        <v>-706213.83047002833</v>
      </c>
      <c r="H39" s="226" t="s">
        <v>51</v>
      </c>
      <c r="I39" s="226"/>
      <c r="J39" s="226"/>
      <c r="K39" s="226"/>
      <c r="L39" s="226"/>
      <c r="M39" s="236"/>
      <c r="N39" s="237"/>
      <c r="O39" s="237"/>
      <c r="P39" s="237"/>
      <c r="Q39" s="237"/>
      <c r="R39" s="238"/>
    </row>
    <row r="40" spans="1:19" ht="15.75" outlineLevel="1" thickTop="1" x14ac:dyDescent="0.25">
      <c r="A40" s="156"/>
      <c r="B40" s="7"/>
      <c r="D40" s="40"/>
      <c r="E40" s="40"/>
      <c r="F40" s="40"/>
      <c r="G40" s="40"/>
      <c r="H40" s="40"/>
      <c r="I40" s="69"/>
      <c r="J40" s="69"/>
      <c r="K40" s="69"/>
      <c r="N40" s="69"/>
      <c r="O40" s="69"/>
      <c r="P40" s="69"/>
    </row>
    <row r="41" spans="1:19" outlineLevel="1" x14ac:dyDescent="0.25">
      <c r="A41" s="156"/>
      <c r="B41" s="7"/>
      <c r="D41" s="39" t="str">
        <f>"Variant"&amp;" "&amp;$A$17</f>
        <v>Variant 3a</v>
      </c>
      <c r="E41" s="39" t="str">
        <f>"Variant"&amp;" "&amp;$A$18</f>
        <v>Variant 3b</v>
      </c>
      <c r="F41" s="39" t="str">
        <f>"Variant"&amp;" "&amp;$A$19</f>
        <v>Variant 3c</v>
      </c>
      <c r="G41" s="39" t="str">
        <f>"Variant"&amp;" "&amp;$A$20</f>
        <v>Variant 3d</v>
      </c>
      <c r="H41" s="225" t="s">
        <v>32</v>
      </c>
      <c r="I41" s="225"/>
      <c r="J41" s="225"/>
      <c r="K41" s="225"/>
      <c r="L41" s="225"/>
      <c r="M41" s="225" t="s">
        <v>33</v>
      </c>
      <c r="N41" s="225"/>
      <c r="O41" s="225"/>
      <c r="P41" s="225"/>
      <c r="Q41" s="225"/>
      <c r="R41" s="225"/>
    </row>
    <row r="42" spans="1:19" ht="14.45" customHeight="1" outlineLevel="1" x14ac:dyDescent="0.25">
      <c r="A42" s="156" t="s">
        <v>49</v>
      </c>
      <c r="B42" s="2" t="s">
        <v>52</v>
      </c>
      <c r="C42" s="5" t="s">
        <v>35</v>
      </c>
      <c r="D42" s="26">
        <f t="shared" ref="D42:G43" si="5">D153</f>
        <v>1943716.5705155686</v>
      </c>
      <c r="E42" s="26">
        <f t="shared" si="5"/>
        <v>4068368.9692542455</v>
      </c>
      <c r="F42" s="26">
        <f t="shared" si="5"/>
        <v>1885405.0734001016</v>
      </c>
      <c r="G42" s="26">
        <f t="shared" si="5"/>
        <v>1943716.5705155686</v>
      </c>
      <c r="H42" s="226" t="s">
        <v>53</v>
      </c>
      <c r="I42" s="226"/>
      <c r="J42" s="226"/>
      <c r="K42" s="226"/>
      <c r="L42" s="226"/>
      <c r="M42" s="236" t="s">
        <v>245</v>
      </c>
      <c r="N42" s="237"/>
      <c r="O42" s="237"/>
      <c r="P42" s="237"/>
      <c r="Q42" s="237"/>
      <c r="R42" s="238"/>
    </row>
    <row r="43" spans="1:19" ht="14.45" customHeight="1" outlineLevel="1" x14ac:dyDescent="0.25">
      <c r="A43" s="156" t="s">
        <v>42</v>
      </c>
      <c r="B43" s="2" t="s">
        <v>54</v>
      </c>
      <c r="C43" s="14" t="s">
        <v>35</v>
      </c>
      <c r="D43" s="26">
        <f t="shared" si="5"/>
        <v>1037618.0915839006</v>
      </c>
      <c r="E43" s="26">
        <f t="shared" si="5"/>
        <v>2706520.5528028402</v>
      </c>
      <c r="F43" s="26">
        <f t="shared" si="5"/>
        <v>1037618.0915839006</v>
      </c>
      <c r="G43" s="26">
        <f t="shared" si="5"/>
        <v>1037618.0915839006</v>
      </c>
      <c r="H43" s="226" t="s">
        <v>55</v>
      </c>
      <c r="I43" s="226"/>
      <c r="J43" s="226"/>
      <c r="K43" s="226"/>
      <c r="L43" s="226"/>
      <c r="M43" s="236" t="s">
        <v>245</v>
      </c>
      <c r="N43" s="237"/>
      <c r="O43" s="237"/>
      <c r="P43" s="237"/>
      <c r="Q43" s="237"/>
      <c r="R43" s="238"/>
    </row>
    <row r="44" spans="1:19" ht="15" customHeight="1" outlineLevel="1" thickBot="1" x14ac:dyDescent="0.3">
      <c r="A44" s="156" t="s">
        <v>46</v>
      </c>
      <c r="B44" s="17" t="s">
        <v>39</v>
      </c>
      <c r="C44" s="16" t="s">
        <v>35</v>
      </c>
      <c r="D44" s="98">
        <f>SUM(D42:D43)</f>
        <v>2981334.6620994695</v>
      </c>
      <c r="E44" s="98">
        <f t="shared" ref="E44:G44" si="6">SUM(E42:E43)</f>
        <v>6774889.5220570862</v>
      </c>
      <c r="F44" s="98">
        <f t="shared" si="6"/>
        <v>2923023.1649840022</v>
      </c>
      <c r="G44" s="98">
        <f t="shared" si="6"/>
        <v>2981334.6620994695</v>
      </c>
      <c r="H44" s="226" t="s">
        <v>56</v>
      </c>
      <c r="I44" s="226"/>
      <c r="J44" s="226"/>
      <c r="K44" s="226"/>
      <c r="L44" s="226"/>
      <c r="M44" s="236" t="s">
        <v>245</v>
      </c>
      <c r="N44" s="237"/>
      <c r="O44" s="237"/>
      <c r="P44" s="237"/>
      <c r="Q44" s="237"/>
      <c r="R44" s="238"/>
    </row>
    <row r="45" spans="1:19" ht="15.75" outlineLevel="1" thickTop="1" x14ac:dyDescent="0.25">
      <c r="A45" s="156"/>
      <c r="B45" s="7"/>
      <c r="D45" s="37"/>
      <c r="E45" s="37"/>
      <c r="F45" s="37"/>
      <c r="G45" s="37"/>
      <c r="H45" s="37"/>
    </row>
    <row r="46" spans="1:19" outlineLevel="1" x14ac:dyDescent="0.25">
      <c r="A46" s="156"/>
      <c r="B46" s="7"/>
      <c r="D46" s="37"/>
      <c r="E46" s="37"/>
      <c r="F46" s="37"/>
      <c r="G46" s="37"/>
      <c r="H46" s="225" t="s">
        <v>32</v>
      </c>
      <c r="I46" s="225"/>
      <c r="J46" s="225"/>
      <c r="K46" s="225"/>
      <c r="L46" s="225"/>
      <c r="M46" s="225" t="s">
        <v>33</v>
      </c>
      <c r="N46" s="225"/>
      <c r="O46" s="225"/>
      <c r="P46" s="225"/>
      <c r="Q46" s="225"/>
      <c r="R46" s="225"/>
    </row>
    <row r="47" spans="1:19" ht="29.1" customHeight="1" outlineLevel="1" x14ac:dyDescent="0.25">
      <c r="A47" s="13"/>
      <c r="B47" s="7" t="s">
        <v>57</v>
      </c>
      <c r="C47" s="7"/>
      <c r="D47" s="41" t="str">
        <f>IF(D34=D79,"pass","fail")</f>
        <v>pass</v>
      </c>
      <c r="E47" s="41" t="str">
        <f>IF(E34=E79,"pass","fail")</f>
        <v>pass</v>
      </c>
      <c r="F47" s="41" t="str">
        <f>IF(F34=F79,"pass","fail")</f>
        <v>pass</v>
      </c>
      <c r="G47" s="41" t="str">
        <f>IF(G34=G79,"pass","fail")</f>
        <v>pass</v>
      </c>
      <c r="H47" s="226" t="s">
        <v>247</v>
      </c>
      <c r="I47" s="226"/>
      <c r="J47" s="226"/>
      <c r="K47" s="226"/>
      <c r="L47" s="226"/>
      <c r="M47" s="236"/>
      <c r="N47" s="237"/>
      <c r="O47" s="237"/>
      <c r="P47" s="237"/>
      <c r="Q47" s="237"/>
      <c r="R47" s="238"/>
    </row>
    <row r="48" spans="1:19" ht="14.45" customHeight="1" outlineLevel="1" x14ac:dyDescent="0.25">
      <c r="A48" s="13"/>
      <c r="B48" s="7"/>
      <c r="C48" s="7"/>
      <c r="D48" s="41"/>
      <c r="E48" s="41"/>
      <c r="F48" s="41"/>
      <c r="G48" s="41"/>
      <c r="H48" s="41"/>
      <c r="I48" s="41"/>
      <c r="J48" s="41"/>
      <c r="K48" s="44"/>
      <c r="L48" s="44"/>
      <c r="M48" s="44"/>
      <c r="Q48" s="44"/>
      <c r="R48" s="44"/>
      <c r="S48" s="44"/>
    </row>
    <row r="49" spans="1:19" s="9" customFormat="1" ht="15.75" outlineLevel="1" thickBot="1" x14ac:dyDescent="0.3">
      <c r="A49" s="9" t="s">
        <v>59</v>
      </c>
    </row>
    <row r="50" spans="1:19" ht="14.45" customHeight="1" outlineLevel="1" x14ac:dyDescent="0.25">
      <c r="A50" s="156"/>
      <c r="B50" s="7"/>
      <c r="C50" s="7"/>
      <c r="D50" s="41"/>
      <c r="E50" s="41"/>
      <c r="F50" s="41"/>
      <c r="G50" s="41"/>
      <c r="H50" s="41"/>
      <c r="I50" s="41"/>
      <c r="J50" s="41"/>
      <c r="K50" s="44"/>
      <c r="L50" s="44"/>
      <c r="M50" s="44"/>
      <c r="Q50" s="44"/>
      <c r="R50" s="44"/>
      <c r="S50" s="44"/>
    </row>
    <row r="51" spans="1:19" ht="14.45" customHeight="1" outlineLevel="1" x14ac:dyDescent="0.25">
      <c r="A51" s="156"/>
      <c r="B51" s="66" t="s">
        <v>60</v>
      </c>
      <c r="C51" s="6" t="s">
        <v>61</v>
      </c>
      <c r="D51" s="39" t="str">
        <f>"Variant"&amp;" "&amp;$A$17</f>
        <v>Variant 3a</v>
      </c>
      <c r="E51" s="39" t="str">
        <f>"Variant"&amp;" "&amp;$A$18</f>
        <v>Variant 3b</v>
      </c>
      <c r="F51" s="39" t="str">
        <f>"Variant"&amp;" "&amp;$A$19</f>
        <v>Variant 3c</v>
      </c>
      <c r="G51" s="39" t="str">
        <f>"Variant"&amp;" "&amp;$A$20</f>
        <v>Variant 3d</v>
      </c>
      <c r="H51" s="225" t="s">
        <v>32</v>
      </c>
      <c r="I51" s="225"/>
      <c r="J51" s="225"/>
      <c r="K51" s="225"/>
      <c r="L51" s="225"/>
      <c r="M51" s="225" t="s">
        <v>33</v>
      </c>
      <c r="N51" s="225"/>
      <c r="O51" s="225"/>
      <c r="P51" s="225"/>
      <c r="Q51" s="225"/>
      <c r="R51" s="225"/>
    </row>
    <row r="52" spans="1:19" ht="14.45" customHeight="1" outlineLevel="1" x14ac:dyDescent="0.25">
      <c r="A52" s="156"/>
      <c r="B52" s="67" t="s">
        <v>47</v>
      </c>
      <c r="C52" s="5" t="s">
        <v>35</v>
      </c>
      <c r="D52" s="26">
        <f>D34</f>
        <v>2144000</v>
      </c>
      <c r="E52" s="26">
        <f t="shared" ref="E52:G52" si="7">E34</f>
        <v>3289337.2073019212</v>
      </c>
      <c r="F52" s="26">
        <f t="shared" si="7"/>
        <v>1884000</v>
      </c>
      <c r="G52" s="26">
        <f t="shared" si="7"/>
        <v>2164000</v>
      </c>
      <c r="H52" s="226" t="s">
        <v>48</v>
      </c>
      <c r="I52" s="226"/>
      <c r="J52" s="226"/>
      <c r="K52" s="226"/>
      <c r="L52" s="226"/>
      <c r="M52" s="236" t="s">
        <v>37</v>
      </c>
      <c r="N52" s="237"/>
      <c r="O52" s="237"/>
      <c r="P52" s="237"/>
      <c r="Q52" s="237"/>
      <c r="R52" s="238"/>
    </row>
    <row r="53" spans="1:19" ht="14.45" customHeight="1" outlineLevel="1" x14ac:dyDescent="0.25">
      <c r="A53" s="156" t="s">
        <v>42</v>
      </c>
      <c r="B53" s="67" t="s">
        <v>62</v>
      </c>
      <c r="C53" s="14" t="s">
        <v>35</v>
      </c>
      <c r="D53" s="26">
        <f>D32</f>
        <v>2981334.6620994695</v>
      </c>
      <c r="E53" s="26">
        <f t="shared" ref="E53:G53" si="8">E32</f>
        <v>6774889.5220570862</v>
      </c>
      <c r="F53" s="26">
        <f t="shared" si="8"/>
        <v>2923023.1649840022</v>
      </c>
      <c r="G53" s="26">
        <f t="shared" si="8"/>
        <v>2981334.6620994695</v>
      </c>
      <c r="H53" s="226" t="s">
        <v>63</v>
      </c>
      <c r="I53" s="226"/>
      <c r="J53" s="226"/>
      <c r="K53" s="226"/>
      <c r="L53" s="226"/>
      <c r="M53" s="236" t="s">
        <v>245</v>
      </c>
      <c r="N53" s="237"/>
      <c r="O53" s="237"/>
      <c r="P53" s="237"/>
      <c r="Q53" s="237"/>
      <c r="R53" s="238"/>
    </row>
    <row r="54" spans="1:19" ht="14.45" customHeight="1" outlineLevel="1" thickBot="1" x14ac:dyDescent="0.3">
      <c r="A54" s="156" t="s">
        <v>46</v>
      </c>
      <c r="B54" s="17" t="s">
        <v>59</v>
      </c>
      <c r="C54" s="16" t="s">
        <v>35</v>
      </c>
      <c r="D54" s="98">
        <f>SUM(D52:D53)</f>
        <v>5125334.6620994695</v>
      </c>
      <c r="E54" s="98">
        <f t="shared" ref="E54:G54" si="9">SUM(E52:E53)</f>
        <v>10064226.729359008</v>
      </c>
      <c r="F54" s="98">
        <f t="shared" si="9"/>
        <v>4807023.1649840027</v>
      </c>
      <c r="G54" s="98">
        <f t="shared" si="9"/>
        <v>5145334.6620994695</v>
      </c>
      <c r="H54" s="226" t="s">
        <v>64</v>
      </c>
      <c r="I54" s="226"/>
      <c r="J54" s="226"/>
      <c r="K54" s="226"/>
      <c r="L54" s="226"/>
      <c r="M54" s="236" t="s">
        <v>65</v>
      </c>
      <c r="N54" s="237"/>
      <c r="O54" s="237"/>
      <c r="P54" s="237"/>
      <c r="Q54" s="237"/>
      <c r="R54" s="238"/>
    </row>
    <row r="55" spans="1:19" ht="14.45" customHeight="1" outlineLevel="1" thickTop="1" x14ac:dyDescent="0.25">
      <c r="A55" s="13"/>
      <c r="D55" s="72"/>
      <c r="E55" s="72"/>
      <c r="F55" s="72"/>
      <c r="G55" s="72"/>
      <c r="H55" s="72"/>
      <c r="I55" s="72"/>
      <c r="J55" s="72"/>
      <c r="K55" s="44"/>
      <c r="L55" s="44"/>
      <c r="M55" s="44"/>
      <c r="Q55" s="44"/>
      <c r="R55" s="44"/>
      <c r="S55" s="44"/>
    </row>
    <row r="56" spans="1:19" s="9" customFormat="1" ht="15.75" outlineLevel="1" thickBot="1" x14ac:dyDescent="0.3">
      <c r="A56" s="9" t="s">
        <v>66</v>
      </c>
    </row>
    <row r="57" spans="1:19" ht="14.45" customHeight="1" outlineLevel="1" x14ac:dyDescent="0.25">
      <c r="A57" s="13"/>
      <c r="B57" s="7"/>
      <c r="C57" s="7"/>
      <c r="D57" s="41"/>
      <c r="E57" s="41"/>
      <c r="F57" s="41"/>
      <c r="G57" s="41"/>
      <c r="H57" s="41"/>
      <c r="I57" s="41"/>
      <c r="J57" s="41"/>
      <c r="K57" s="44"/>
      <c r="L57" s="44"/>
      <c r="M57" s="44"/>
      <c r="Q57" s="44"/>
      <c r="R57" s="44"/>
      <c r="S57" s="44"/>
    </row>
    <row r="58" spans="1:19" ht="14.45" customHeight="1" outlineLevel="1" x14ac:dyDescent="0.25">
      <c r="A58" s="13"/>
      <c r="B58" s="66" t="s">
        <v>67</v>
      </c>
      <c r="C58" s="6" t="s">
        <v>61</v>
      </c>
      <c r="D58" s="39" t="str">
        <f>"Variant"&amp;" "&amp;$A$17</f>
        <v>Variant 3a</v>
      </c>
      <c r="E58" s="39" t="str">
        <f>"Variant"&amp;" "&amp;$A$18</f>
        <v>Variant 3b</v>
      </c>
      <c r="F58" s="39" t="str">
        <f>"Variant"&amp;" "&amp;$A$19</f>
        <v>Variant 3c</v>
      </c>
      <c r="G58" s="39" t="str">
        <f>"Variant"&amp;" "&amp;$A$20</f>
        <v>Variant 3d</v>
      </c>
      <c r="H58" s="225" t="s">
        <v>32</v>
      </c>
      <c r="I58" s="225"/>
      <c r="J58" s="225"/>
      <c r="K58" s="225"/>
      <c r="L58" s="225"/>
      <c r="M58" s="225" t="s">
        <v>33</v>
      </c>
      <c r="N58" s="225"/>
      <c r="O58" s="225"/>
      <c r="P58" s="225"/>
      <c r="Q58" s="225"/>
      <c r="R58" s="225"/>
    </row>
    <row r="59" spans="1:19" ht="14.45" customHeight="1" outlineLevel="1" x14ac:dyDescent="0.25">
      <c r="A59" s="13"/>
      <c r="B59" s="67" t="s">
        <v>68</v>
      </c>
      <c r="C59" s="5" t="s">
        <v>69</v>
      </c>
      <c r="D59" s="155">
        <f t="shared" ref="D59:G59" si="10">D34/D31</f>
        <v>0.95072510968330215</v>
      </c>
      <c r="E59" s="155">
        <f t="shared" si="10"/>
        <v>0.49689202315499287</v>
      </c>
      <c r="F59" s="155">
        <f t="shared" si="10"/>
        <v>0.94430370839309652</v>
      </c>
      <c r="G59" s="155">
        <f t="shared" si="10"/>
        <v>0.95115827252574692</v>
      </c>
      <c r="H59" s="226" t="s">
        <v>70</v>
      </c>
      <c r="I59" s="226"/>
      <c r="J59" s="226"/>
      <c r="K59" s="226"/>
      <c r="L59" s="226"/>
      <c r="M59" s="236"/>
      <c r="N59" s="237"/>
      <c r="O59" s="237"/>
      <c r="P59" s="237"/>
      <c r="Q59" s="237"/>
      <c r="R59" s="238"/>
    </row>
    <row r="60" spans="1:19" ht="14.45" customHeight="1" outlineLevel="1" x14ac:dyDescent="0.25">
      <c r="A60" s="13"/>
      <c r="B60" s="67" t="s">
        <v>71</v>
      </c>
      <c r="C60" s="5" t="s">
        <v>69</v>
      </c>
      <c r="D60" s="155">
        <f t="shared" ref="D60:G60" si="11">D34/(D34+D32)</f>
        <v>0.41831414753349244</v>
      </c>
      <c r="E60" s="155">
        <f t="shared" si="11"/>
        <v>0.32683456918815057</v>
      </c>
      <c r="F60" s="155">
        <f t="shared" si="11"/>
        <v>0.3919265489968301</v>
      </c>
      <c r="G60" s="155">
        <f t="shared" si="11"/>
        <v>0.42057516995736394</v>
      </c>
      <c r="H60" s="226" t="s">
        <v>72</v>
      </c>
      <c r="I60" s="226"/>
      <c r="J60" s="226"/>
      <c r="K60" s="226"/>
      <c r="L60" s="226"/>
      <c r="M60" s="236"/>
      <c r="N60" s="237"/>
      <c r="O60" s="237"/>
      <c r="P60" s="237"/>
      <c r="Q60" s="237"/>
      <c r="R60" s="238"/>
    </row>
    <row r="61" spans="1:19" ht="14.45" customHeight="1" outlineLevel="1" x14ac:dyDescent="0.25">
      <c r="A61" s="13"/>
      <c r="B61" s="67" t="s">
        <v>73</v>
      </c>
      <c r="C61" s="5" t="s">
        <v>69</v>
      </c>
      <c r="D61" s="155">
        <f t="shared" ref="D61:G61" si="12">D33/(D32+D34)</f>
        <v>0.56000515472570422</v>
      </c>
      <c r="E61" s="155">
        <f t="shared" si="12"/>
        <v>0.34224227003498731</v>
      </c>
      <c r="F61" s="155">
        <f t="shared" si="12"/>
        <v>0.58495710065169171</v>
      </c>
      <c r="G61" s="155">
        <f t="shared" si="12"/>
        <v>0.55782840552860846</v>
      </c>
      <c r="H61" s="226" t="s">
        <v>74</v>
      </c>
      <c r="I61" s="226"/>
      <c r="J61" s="226"/>
      <c r="K61" s="226"/>
      <c r="L61" s="226"/>
      <c r="M61" s="236"/>
      <c r="N61" s="237"/>
      <c r="O61" s="237"/>
      <c r="P61" s="237"/>
      <c r="Q61" s="237"/>
      <c r="R61" s="238"/>
    </row>
    <row r="62" spans="1:19" outlineLevel="1" x14ac:dyDescent="0.25">
      <c r="A62" s="13"/>
      <c r="B62" s="7"/>
      <c r="D62" s="37"/>
      <c r="E62" s="37"/>
      <c r="F62" s="37"/>
      <c r="G62" s="37"/>
      <c r="H62" s="37"/>
      <c r="I62" s="37"/>
      <c r="J62" s="37"/>
    </row>
    <row r="63" spans="1:19" s="73" customFormat="1" ht="18" thickBot="1" x14ac:dyDescent="0.35">
      <c r="A63" s="73" t="s">
        <v>190</v>
      </c>
    </row>
    <row r="64" spans="1:19" ht="15.75" outlineLevel="1" thickTop="1" x14ac:dyDescent="0.25">
      <c r="A64" s="13"/>
      <c r="B64" s="7"/>
      <c r="D64" s="37"/>
      <c r="E64" s="37"/>
      <c r="F64" s="37"/>
      <c r="G64" s="37"/>
      <c r="H64" s="37"/>
      <c r="I64" s="37"/>
      <c r="J64" s="37"/>
    </row>
    <row r="65" spans="1:42" outlineLevel="1" x14ac:dyDescent="0.25">
      <c r="A65" s="13"/>
      <c r="B65" s="6" t="s">
        <v>248</v>
      </c>
      <c r="C65" s="6" t="s">
        <v>61</v>
      </c>
      <c r="D65" s="39" t="str">
        <f>"Variant"&amp;" "&amp;$A$17</f>
        <v>Variant 3a</v>
      </c>
      <c r="E65" s="39" t="str">
        <f>"Variant"&amp;" "&amp;$A$18</f>
        <v>Variant 3b</v>
      </c>
      <c r="F65" s="39" t="str">
        <f>"Variant"&amp;" "&amp;$A$19</f>
        <v>Variant 3c</v>
      </c>
      <c r="G65" s="39" t="str">
        <f>"Variant"&amp;" "&amp;$A$20</f>
        <v>Variant 3d</v>
      </c>
      <c r="H65" s="225" t="s">
        <v>32</v>
      </c>
      <c r="I65" s="225"/>
      <c r="J65" s="225"/>
      <c r="K65" s="225"/>
      <c r="L65" s="225"/>
      <c r="M65" s="225" t="s">
        <v>33</v>
      </c>
      <c r="N65" s="225"/>
      <c r="O65" s="225"/>
      <c r="P65" s="225"/>
      <c r="Q65" s="225"/>
      <c r="R65" s="225"/>
    </row>
    <row r="66" spans="1:42" ht="43.35" customHeight="1" outlineLevel="1" x14ac:dyDescent="0.25">
      <c r="A66" s="13"/>
      <c r="B66" s="5" t="s">
        <v>248</v>
      </c>
      <c r="C66" s="5" t="s">
        <v>144</v>
      </c>
      <c r="D66" s="54">
        <v>0.25</v>
      </c>
      <c r="E66" s="54">
        <v>0.25</v>
      </c>
      <c r="F66" s="54">
        <v>0.25</v>
      </c>
      <c r="G66" s="54">
        <v>0.25</v>
      </c>
      <c r="H66" s="226" t="s">
        <v>249</v>
      </c>
      <c r="I66" s="226"/>
      <c r="J66" s="226"/>
      <c r="K66" s="226"/>
      <c r="L66" s="226"/>
      <c r="M66" s="236" t="s">
        <v>250</v>
      </c>
      <c r="N66" s="237"/>
      <c r="O66" s="237"/>
      <c r="P66" s="237"/>
      <c r="Q66" s="237"/>
      <c r="R66" s="238"/>
    </row>
    <row r="67" spans="1:42" ht="29.1" customHeight="1" outlineLevel="1" x14ac:dyDescent="0.25">
      <c r="A67" s="13"/>
      <c r="D67" s="109"/>
      <c r="E67" s="109"/>
      <c r="F67" s="109"/>
      <c r="G67" s="109"/>
      <c r="H67" s="109"/>
      <c r="I67" s="23"/>
      <c r="J67" s="23"/>
      <c r="K67" s="44"/>
      <c r="L67" s="44"/>
      <c r="M67" s="44"/>
      <c r="N67" s="44"/>
      <c r="O67" s="44"/>
      <c r="P67" s="44"/>
      <c r="Q67" s="44"/>
      <c r="R67" s="44"/>
    </row>
    <row r="68" spans="1:42" outlineLevel="1" x14ac:dyDescent="0.25">
      <c r="B68" s="6" t="s">
        <v>251</v>
      </c>
      <c r="C68" s="6" t="s">
        <v>61</v>
      </c>
      <c r="D68" s="39" t="s">
        <v>133</v>
      </c>
      <c r="E68" s="240" t="s">
        <v>32</v>
      </c>
      <c r="F68" s="241"/>
      <c r="G68" s="241"/>
      <c r="H68" s="241"/>
      <c r="I68" s="241"/>
      <c r="J68" s="241"/>
      <c r="K68" s="242"/>
      <c r="L68" s="240" t="s">
        <v>33</v>
      </c>
      <c r="M68" s="241"/>
      <c r="N68" s="241"/>
      <c r="O68" s="241"/>
      <c r="P68" s="241"/>
      <c r="Q68" s="241"/>
      <c r="R68" s="242"/>
    </row>
    <row r="69" spans="1:42" ht="29.1" customHeight="1" outlineLevel="1" x14ac:dyDescent="0.25">
      <c r="B69" s="42" t="s">
        <v>129</v>
      </c>
      <c r="C69" s="5" t="s">
        <v>130</v>
      </c>
      <c r="D69" s="10">
        <v>15</v>
      </c>
      <c r="E69" s="236" t="s">
        <v>131</v>
      </c>
      <c r="F69" s="237"/>
      <c r="G69" s="237"/>
      <c r="H69" s="237"/>
      <c r="I69" s="237"/>
      <c r="J69" s="237"/>
      <c r="K69" s="238"/>
      <c r="L69" s="236" t="s">
        <v>252</v>
      </c>
      <c r="M69" s="237"/>
      <c r="N69" s="237"/>
      <c r="O69" s="237"/>
      <c r="P69" s="237"/>
      <c r="Q69" s="237"/>
      <c r="R69" s="238"/>
    </row>
    <row r="70" spans="1:42" ht="43.35" customHeight="1" outlineLevel="1" x14ac:dyDescent="0.25">
      <c r="B70" s="42" t="s">
        <v>134</v>
      </c>
      <c r="C70" s="5" t="s">
        <v>69</v>
      </c>
      <c r="D70" s="55">
        <f>'Distributor assumptions'!$C$7</f>
        <v>4.6299999999999994E-2</v>
      </c>
      <c r="E70" s="236" t="s">
        <v>191</v>
      </c>
      <c r="F70" s="237"/>
      <c r="G70" s="237"/>
      <c r="H70" s="237"/>
      <c r="I70" s="237"/>
      <c r="J70" s="237"/>
      <c r="K70" s="238"/>
      <c r="L70" s="236" t="s">
        <v>192</v>
      </c>
      <c r="M70" s="237"/>
      <c r="N70" s="237"/>
      <c r="O70" s="237"/>
      <c r="P70" s="237"/>
      <c r="Q70" s="237"/>
      <c r="R70" s="238"/>
    </row>
    <row r="71" spans="1:42" ht="14.45" customHeight="1" outlineLevel="1" x14ac:dyDescent="0.25">
      <c r="B71" s="58"/>
      <c r="D71" s="118"/>
      <c r="E71" s="44"/>
      <c r="F71" s="44"/>
      <c r="G71" s="44"/>
      <c r="H71" s="44"/>
      <c r="I71" s="44"/>
      <c r="J71" s="44"/>
      <c r="K71" s="44"/>
      <c r="L71" s="44"/>
      <c r="M71" s="44"/>
      <c r="N71" s="44"/>
      <c r="O71" s="44"/>
      <c r="P71" s="44"/>
      <c r="Q71" s="44"/>
      <c r="R71" s="44"/>
    </row>
    <row r="72" spans="1:42" outlineLevel="1" x14ac:dyDescent="0.25">
      <c r="B72" s="6" t="s">
        <v>76</v>
      </c>
      <c r="C72" s="6" t="s">
        <v>61</v>
      </c>
      <c r="D72" s="225" t="s">
        <v>32</v>
      </c>
      <c r="E72" s="225"/>
      <c r="F72" s="225"/>
      <c r="G72" s="225"/>
      <c r="H72" s="225" t="s">
        <v>33</v>
      </c>
      <c r="I72" s="225"/>
      <c r="J72" s="225"/>
      <c r="K72" s="225"/>
      <c r="L72" s="6">
        <v>0</v>
      </c>
      <c r="M72" s="6">
        <v>1</v>
      </c>
      <c r="N72" s="6">
        <v>2</v>
      </c>
      <c r="O72" s="6">
        <v>3</v>
      </c>
      <c r="P72" s="6">
        <v>4</v>
      </c>
      <c r="Q72" s="6">
        <v>5</v>
      </c>
      <c r="R72" s="6">
        <v>6</v>
      </c>
      <c r="S72" s="6">
        <v>7</v>
      </c>
      <c r="T72" s="6">
        <v>8</v>
      </c>
      <c r="U72" s="6">
        <v>9</v>
      </c>
      <c r="V72" s="6">
        <v>10</v>
      </c>
      <c r="W72" s="6">
        <v>11</v>
      </c>
      <c r="X72" s="6">
        <v>12</v>
      </c>
      <c r="Y72" s="6">
        <v>13</v>
      </c>
      <c r="Z72" s="6">
        <v>14</v>
      </c>
      <c r="AA72" s="6">
        <v>15</v>
      </c>
      <c r="AB72" s="6">
        <v>16</v>
      </c>
      <c r="AC72" s="6">
        <v>17</v>
      </c>
      <c r="AD72" s="6">
        <v>18</v>
      </c>
      <c r="AE72" s="6">
        <v>19</v>
      </c>
      <c r="AF72" s="6">
        <v>20</v>
      </c>
      <c r="AG72" s="6">
        <v>21</v>
      </c>
      <c r="AH72" s="6">
        <v>22</v>
      </c>
      <c r="AI72" s="6">
        <v>23</v>
      </c>
      <c r="AJ72" s="6">
        <v>24</v>
      </c>
      <c r="AK72" s="6">
        <v>25</v>
      </c>
      <c r="AL72" s="6">
        <v>26</v>
      </c>
      <c r="AM72" s="6">
        <v>27</v>
      </c>
      <c r="AN72" s="6">
        <v>28</v>
      </c>
      <c r="AO72" s="6">
        <v>29</v>
      </c>
      <c r="AP72" s="6">
        <v>30</v>
      </c>
    </row>
    <row r="73" spans="1:42" outlineLevel="1" x14ac:dyDescent="0.25">
      <c r="B73" s="5" t="s">
        <v>140</v>
      </c>
      <c r="C73" s="5" t="s">
        <v>141</v>
      </c>
      <c r="D73" s="223" t="s">
        <v>193</v>
      </c>
      <c r="E73" s="223"/>
      <c r="F73" s="223"/>
      <c r="G73" s="223"/>
      <c r="H73" s="223"/>
      <c r="I73" s="223"/>
      <c r="J73" s="223"/>
      <c r="K73" s="223"/>
      <c r="L73" s="76">
        <v>2026</v>
      </c>
      <c r="M73" s="76">
        <f>L73+1</f>
        <v>2027</v>
      </c>
      <c r="N73" s="76">
        <f t="shared" ref="N73" si="13">M73+1</f>
        <v>2028</v>
      </c>
      <c r="O73" s="76">
        <f t="shared" ref="O73" si="14">N73+1</f>
        <v>2029</v>
      </c>
      <c r="P73" s="76">
        <f t="shared" ref="P73" si="15">O73+1</f>
        <v>2030</v>
      </c>
      <c r="Q73" s="76">
        <f t="shared" ref="Q73" si="16">P73+1</f>
        <v>2031</v>
      </c>
      <c r="R73" s="76">
        <f t="shared" ref="R73" si="17">Q73+1</f>
        <v>2032</v>
      </c>
      <c r="S73" s="76">
        <f t="shared" ref="S73" si="18">R73+1</f>
        <v>2033</v>
      </c>
      <c r="T73" s="76">
        <f t="shared" ref="T73" si="19">S73+1</f>
        <v>2034</v>
      </c>
      <c r="U73" s="76">
        <f t="shared" ref="U73" si="20">T73+1</f>
        <v>2035</v>
      </c>
      <c r="V73" s="76">
        <f t="shared" ref="V73" si="21">U73+1</f>
        <v>2036</v>
      </c>
      <c r="W73" s="76">
        <f t="shared" ref="W73" si="22">V73+1</f>
        <v>2037</v>
      </c>
      <c r="X73" s="76">
        <f t="shared" ref="X73" si="23">W73+1</f>
        <v>2038</v>
      </c>
      <c r="Y73" s="76">
        <f t="shared" ref="Y73" si="24">X73+1</f>
        <v>2039</v>
      </c>
      <c r="Z73" s="76">
        <f t="shared" ref="Z73" si="25">Y73+1</f>
        <v>2040</v>
      </c>
      <c r="AA73" s="76">
        <f t="shared" ref="AA73" si="26">Z73+1</f>
        <v>2041</v>
      </c>
      <c r="AB73" s="76">
        <f t="shared" ref="AB73" si="27">AA73+1</f>
        <v>2042</v>
      </c>
      <c r="AC73" s="76">
        <f t="shared" ref="AC73" si="28">AB73+1</f>
        <v>2043</v>
      </c>
      <c r="AD73" s="76">
        <f t="shared" ref="AD73" si="29">AC73+1</f>
        <v>2044</v>
      </c>
      <c r="AE73" s="76">
        <f t="shared" ref="AE73" si="30">AD73+1</f>
        <v>2045</v>
      </c>
      <c r="AF73" s="76">
        <f t="shared" ref="AF73" si="31">AE73+1</f>
        <v>2046</v>
      </c>
      <c r="AG73" s="76">
        <f t="shared" ref="AG73" si="32">AF73+1</f>
        <v>2047</v>
      </c>
      <c r="AH73" s="76">
        <f t="shared" ref="AH73" si="33">AG73+1</f>
        <v>2048</v>
      </c>
      <c r="AI73" s="76">
        <f t="shared" ref="AI73" si="34">AH73+1</f>
        <v>2049</v>
      </c>
      <c r="AJ73" s="76">
        <f t="shared" ref="AJ73" si="35">AI73+1</f>
        <v>2050</v>
      </c>
      <c r="AK73" s="76">
        <f t="shared" ref="AK73" si="36">AJ73+1</f>
        <v>2051</v>
      </c>
      <c r="AL73" s="76">
        <f t="shared" ref="AL73" si="37">AK73+1</f>
        <v>2052</v>
      </c>
      <c r="AM73" s="76">
        <f t="shared" ref="AM73" si="38">AL73+1</f>
        <v>2053</v>
      </c>
      <c r="AN73" s="76">
        <f t="shared" ref="AN73" si="39">AM73+1</f>
        <v>2054</v>
      </c>
      <c r="AO73" s="76">
        <f t="shared" ref="AO73" si="40">AN73+1</f>
        <v>2055</v>
      </c>
      <c r="AP73" s="76">
        <f t="shared" ref="AP73" si="41">AO73+1</f>
        <v>2056</v>
      </c>
    </row>
    <row r="74" spans="1:42" ht="28.5" customHeight="1" outlineLevel="1" x14ac:dyDescent="0.25">
      <c r="B74" s="5" t="s">
        <v>143</v>
      </c>
      <c r="C74" s="5" t="s">
        <v>144</v>
      </c>
      <c r="D74" s="223" t="s">
        <v>145</v>
      </c>
      <c r="E74" s="223"/>
      <c r="F74" s="223"/>
      <c r="G74" s="223"/>
      <c r="H74" s="223" t="s">
        <v>194</v>
      </c>
      <c r="I74" s="223"/>
      <c r="J74" s="223"/>
      <c r="K74" s="223"/>
      <c r="L74" s="62">
        <f>1</f>
        <v>1</v>
      </c>
      <c r="M74" s="20">
        <f>IF(M72&lt;=$D$69,1/(1+$D$70)^M72,0)</f>
        <v>0.95574882920768423</v>
      </c>
      <c r="N74" s="20">
        <f t="shared" ref="N74:AP74" si="42">IF(N72&lt;=$D$69,1/(1+$D$70)^N72,0)</f>
        <v>0.91345582453185914</v>
      </c>
      <c r="O74" s="20">
        <f t="shared" si="42"/>
        <v>0.87303433482926418</v>
      </c>
      <c r="P74" s="20">
        <f t="shared" si="42"/>
        <v>0.83440154337117856</v>
      </c>
      <c r="Q74" s="20">
        <f t="shared" si="42"/>
        <v>0.79747829816608862</v>
      </c>
      <c r="R74" s="20">
        <f t="shared" si="42"/>
        <v>0.76218894979077567</v>
      </c>
      <c r="S74" s="20">
        <f t="shared" si="42"/>
        <v>0.72846119639756823</v>
      </c>
      <c r="T74" s="20">
        <f t="shared" si="42"/>
        <v>0.69622593558020462</v>
      </c>
      <c r="U74" s="20">
        <f t="shared" si="42"/>
        <v>0.66541712279480525</v>
      </c>
      <c r="V74" s="20">
        <f t="shared" si="42"/>
        <v>0.63597163604588081</v>
      </c>
      <c r="W74" s="20">
        <f t="shared" si="42"/>
        <v>0.60782914656014608</v>
      </c>
      <c r="X74" s="20">
        <f t="shared" si="42"/>
        <v>0.58093199518316552</v>
      </c>
      <c r="Y74" s="20">
        <f t="shared" si="42"/>
        <v>0.55522507424559442</v>
      </c>
      <c r="Z74" s="20">
        <f t="shared" si="42"/>
        <v>0.53065571465697647</v>
      </c>
      <c r="AA74" s="20">
        <f t="shared" si="42"/>
        <v>0.50717357799577223</v>
      </c>
      <c r="AB74" s="20">
        <f t="shared" si="42"/>
        <v>0</v>
      </c>
      <c r="AC74" s="20">
        <f t="shared" si="42"/>
        <v>0</v>
      </c>
      <c r="AD74" s="20">
        <f t="shared" si="42"/>
        <v>0</v>
      </c>
      <c r="AE74" s="20">
        <f t="shared" si="42"/>
        <v>0</v>
      </c>
      <c r="AF74" s="20">
        <f t="shared" si="42"/>
        <v>0</v>
      </c>
      <c r="AG74" s="20">
        <f t="shared" si="42"/>
        <v>0</v>
      </c>
      <c r="AH74" s="20">
        <f t="shared" si="42"/>
        <v>0</v>
      </c>
      <c r="AI74" s="20">
        <f t="shared" si="42"/>
        <v>0</v>
      </c>
      <c r="AJ74" s="20">
        <f t="shared" si="42"/>
        <v>0</v>
      </c>
      <c r="AK74" s="20">
        <f t="shared" si="42"/>
        <v>0</v>
      </c>
      <c r="AL74" s="20">
        <f t="shared" si="42"/>
        <v>0</v>
      </c>
      <c r="AM74" s="20">
        <f t="shared" si="42"/>
        <v>0</v>
      </c>
      <c r="AN74" s="20">
        <f t="shared" si="42"/>
        <v>0</v>
      </c>
      <c r="AO74" s="20">
        <f t="shared" si="42"/>
        <v>0</v>
      </c>
      <c r="AP74" s="20">
        <f t="shared" si="42"/>
        <v>0</v>
      </c>
    </row>
    <row r="75" spans="1:42" outlineLevel="1" x14ac:dyDescent="0.25">
      <c r="A75" s="13"/>
      <c r="B75" s="7"/>
      <c r="D75" s="37"/>
      <c r="E75" s="37"/>
      <c r="F75" s="37"/>
      <c r="G75" s="37"/>
      <c r="H75" s="37"/>
      <c r="I75" s="37"/>
      <c r="J75" s="37"/>
    </row>
    <row r="76" spans="1:42" s="73" customFormat="1" ht="18" thickBot="1" x14ac:dyDescent="0.35">
      <c r="A76" s="73" t="s">
        <v>195</v>
      </c>
    </row>
    <row r="77" spans="1:42" ht="15.75" outlineLevel="1" thickTop="1" x14ac:dyDescent="0.25"/>
    <row r="78" spans="1:42" outlineLevel="1" x14ac:dyDescent="0.25">
      <c r="B78" s="6" t="s">
        <v>76</v>
      </c>
      <c r="C78" s="6" t="s">
        <v>61</v>
      </c>
      <c r="D78" s="39" t="str">
        <f>"Variant"&amp;" "&amp;$A$17</f>
        <v>Variant 3a</v>
      </c>
      <c r="E78" s="39" t="str">
        <f>"Variant"&amp;" "&amp;$A$18</f>
        <v>Variant 3b</v>
      </c>
      <c r="F78" s="39" t="str">
        <f>"Variant"&amp;" "&amp;$A$19</f>
        <v>Variant 3c</v>
      </c>
      <c r="G78" s="39" t="str">
        <f>"Variant"&amp;" "&amp;$A$20</f>
        <v>Variant 3d</v>
      </c>
      <c r="H78" s="225" t="s">
        <v>32</v>
      </c>
      <c r="I78" s="225"/>
      <c r="J78" s="225"/>
      <c r="K78" s="225"/>
      <c r="L78" s="225"/>
      <c r="M78" s="225" t="s">
        <v>33</v>
      </c>
      <c r="N78" s="225"/>
      <c r="O78" s="225"/>
      <c r="P78" s="225"/>
      <c r="Q78" s="225"/>
      <c r="R78" s="225"/>
    </row>
    <row r="79" spans="1:42" ht="14.45" customHeight="1" outlineLevel="1" x14ac:dyDescent="0.25">
      <c r="B79" s="5" t="s">
        <v>47</v>
      </c>
      <c r="C79" s="5" t="s">
        <v>35</v>
      </c>
      <c r="D79" s="10">
        <v>2144000</v>
      </c>
      <c r="E79" s="10">
        <v>3289337.2073019212</v>
      </c>
      <c r="F79" s="10">
        <v>1884000</v>
      </c>
      <c r="G79" s="10">
        <v>2164000</v>
      </c>
      <c r="H79" s="226" t="s">
        <v>77</v>
      </c>
      <c r="I79" s="226"/>
      <c r="J79" s="226"/>
      <c r="K79" s="226"/>
      <c r="L79" s="226"/>
      <c r="M79" s="236" t="s">
        <v>78</v>
      </c>
      <c r="N79" s="237"/>
      <c r="O79" s="237"/>
      <c r="P79" s="237"/>
      <c r="Q79" s="237"/>
      <c r="R79" s="238"/>
    </row>
    <row r="80" spans="1:42" outlineLevel="1" x14ac:dyDescent="0.25">
      <c r="B80" s="8"/>
    </row>
    <row r="81" spans="1:18" s="73" customFormat="1" ht="18" thickBot="1" x14ac:dyDescent="0.35">
      <c r="A81" s="73" t="s">
        <v>196</v>
      </c>
    </row>
    <row r="82" spans="1:18" ht="15.75" outlineLevel="1" thickTop="1" x14ac:dyDescent="0.25">
      <c r="B82" s="8"/>
    </row>
    <row r="83" spans="1:18" s="9" customFormat="1" ht="15.75" outlineLevel="1" thickBot="1" x14ac:dyDescent="0.3">
      <c r="A83" s="9" t="s">
        <v>197</v>
      </c>
    </row>
    <row r="84" spans="1:18" outlineLevel="1" x14ac:dyDescent="0.25">
      <c r="B84" s="8"/>
    </row>
    <row r="85" spans="1:18" outlineLevel="2" x14ac:dyDescent="0.25">
      <c r="A85" s="156"/>
      <c r="B85" s="5"/>
      <c r="C85" s="6" t="s">
        <v>61</v>
      </c>
      <c r="D85" s="39" t="str">
        <f>"Variant"&amp;" "&amp;$A$17</f>
        <v>Variant 3a</v>
      </c>
      <c r="E85" s="39" t="str">
        <f>"Variant"&amp;" "&amp;$A$18</f>
        <v>Variant 3b</v>
      </c>
      <c r="F85" s="39" t="str">
        <f>"Variant"&amp;" "&amp;$A$19</f>
        <v>Variant 3c</v>
      </c>
      <c r="G85" s="39" t="str">
        <f>"Variant"&amp;" "&amp;$A$20</f>
        <v>Variant 3d</v>
      </c>
      <c r="H85" s="225" t="s">
        <v>32</v>
      </c>
      <c r="I85" s="225"/>
      <c r="J85" s="225"/>
      <c r="K85" s="225"/>
      <c r="L85" s="225"/>
      <c r="M85" s="225" t="s">
        <v>33</v>
      </c>
      <c r="N85" s="225"/>
      <c r="O85" s="225"/>
      <c r="P85" s="225"/>
      <c r="Q85" s="225"/>
      <c r="R85" s="225"/>
    </row>
    <row r="86" spans="1:18" ht="14.45" customHeight="1" outlineLevel="2" x14ac:dyDescent="0.25">
      <c r="A86" s="156"/>
      <c r="B86" s="5" t="s">
        <v>81</v>
      </c>
      <c r="C86" s="5" t="s">
        <v>35</v>
      </c>
      <c r="D86" s="10">
        <v>204000</v>
      </c>
      <c r="E86" s="10">
        <v>3050400</v>
      </c>
      <c r="F86" s="10">
        <v>204000</v>
      </c>
      <c r="G86" s="10">
        <v>204000</v>
      </c>
      <c r="H86" s="236" t="s">
        <v>82</v>
      </c>
      <c r="I86" s="237"/>
      <c r="J86" s="237"/>
      <c r="K86" s="237"/>
      <c r="L86" s="238"/>
      <c r="M86" s="236" t="s">
        <v>78</v>
      </c>
      <c r="N86" s="237"/>
      <c r="O86" s="237"/>
      <c r="P86" s="237"/>
      <c r="Q86" s="237"/>
      <c r="R86" s="238"/>
    </row>
    <row r="87" spans="1:18" ht="28.5" customHeight="1" outlineLevel="2" x14ac:dyDescent="0.25">
      <c r="A87" s="156" t="s">
        <v>42</v>
      </c>
      <c r="B87" s="5" t="s">
        <v>198</v>
      </c>
      <c r="C87" s="5" t="s">
        <v>35</v>
      </c>
      <c r="D87" s="10">
        <v>0</v>
      </c>
      <c r="E87" s="10">
        <v>0</v>
      </c>
      <c r="F87" s="10">
        <v>0</v>
      </c>
      <c r="G87" s="10">
        <v>0</v>
      </c>
      <c r="H87" s="226" t="s">
        <v>83</v>
      </c>
      <c r="I87" s="226"/>
      <c r="J87" s="226"/>
      <c r="K87" s="226"/>
      <c r="L87" s="226"/>
      <c r="M87" s="236" t="s">
        <v>253</v>
      </c>
      <c r="N87" s="237"/>
      <c r="O87" s="237"/>
      <c r="P87" s="237"/>
      <c r="Q87" s="237"/>
      <c r="R87" s="238"/>
    </row>
    <row r="88" spans="1:18" ht="14.45" customHeight="1" outlineLevel="2" x14ac:dyDescent="0.25">
      <c r="A88" s="156" t="s">
        <v>42</v>
      </c>
      <c r="B88" s="5" t="s">
        <v>84</v>
      </c>
      <c r="C88" s="5" t="s">
        <v>35</v>
      </c>
      <c r="D88" s="10">
        <v>0</v>
      </c>
      <c r="E88" s="10">
        <v>0</v>
      </c>
      <c r="F88" s="10">
        <v>0</v>
      </c>
      <c r="G88" s="10">
        <v>0</v>
      </c>
      <c r="H88" s="226" t="s">
        <v>85</v>
      </c>
      <c r="I88" s="226"/>
      <c r="J88" s="226"/>
      <c r="K88" s="226"/>
      <c r="L88" s="226"/>
      <c r="M88" s="236" t="s">
        <v>254</v>
      </c>
      <c r="N88" s="237"/>
      <c r="O88" s="237"/>
      <c r="P88" s="237"/>
      <c r="Q88" s="237"/>
      <c r="R88" s="238"/>
    </row>
    <row r="89" spans="1:18" ht="14.45" customHeight="1" outlineLevel="2" x14ac:dyDescent="0.25">
      <c r="A89" s="156" t="s">
        <v>42</v>
      </c>
      <c r="B89" s="5" t="s">
        <v>86</v>
      </c>
      <c r="C89" s="5" t="s">
        <v>35</v>
      </c>
      <c r="D89" s="10">
        <v>0</v>
      </c>
      <c r="E89" s="26">
        <f>'3b. ITC calcs'!D16</f>
        <v>1907839.6685208606</v>
      </c>
      <c r="F89" s="10">
        <v>0</v>
      </c>
      <c r="G89" s="10">
        <v>0</v>
      </c>
      <c r="H89" s="226" t="s">
        <v>87</v>
      </c>
      <c r="I89" s="226"/>
      <c r="J89" s="226"/>
      <c r="K89" s="226"/>
      <c r="L89" s="226"/>
      <c r="M89" s="236" t="s">
        <v>255</v>
      </c>
      <c r="N89" s="237"/>
      <c r="O89" s="237"/>
      <c r="P89" s="237"/>
      <c r="Q89" s="237"/>
      <c r="R89" s="238"/>
    </row>
    <row r="90" spans="1:18" ht="43.35" customHeight="1" outlineLevel="2" x14ac:dyDescent="0.25">
      <c r="A90" s="156" t="s">
        <v>42</v>
      </c>
      <c r="B90" s="5" t="s">
        <v>117</v>
      </c>
      <c r="C90" s="5" t="s">
        <v>35</v>
      </c>
      <c r="D90" s="26">
        <f>D122</f>
        <v>1940000</v>
      </c>
      <c r="E90" s="26">
        <f>E122</f>
        <v>0</v>
      </c>
      <c r="F90" s="26">
        <f>F122</f>
        <v>1940000</v>
      </c>
      <c r="G90" s="26">
        <f>G122</f>
        <v>1940000</v>
      </c>
      <c r="H90" s="226" t="s">
        <v>256</v>
      </c>
      <c r="I90" s="226"/>
      <c r="J90" s="226"/>
      <c r="K90" s="226"/>
      <c r="L90" s="226"/>
      <c r="M90" s="236" t="s">
        <v>469</v>
      </c>
      <c r="N90" s="237"/>
      <c r="O90" s="237"/>
      <c r="P90" s="237"/>
      <c r="Q90" s="237"/>
      <c r="R90" s="238"/>
    </row>
    <row r="91" spans="1:18" ht="29.1" customHeight="1" outlineLevel="2" x14ac:dyDescent="0.25">
      <c r="A91" s="156" t="s">
        <v>42</v>
      </c>
      <c r="B91" s="5" t="s">
        <v>200</v>
      </c>
      <c r="C91" s="5" t="s">
        <v>35</v>
      </c>
      <c r="D91" s="106">
        <f>D129*(D66+SUM($M$74:$AP$74))</f>
        <v>111120.83162944105</v>
      </c>
      <c r="E91" s="106">
        <f>E129*(E66+SUM($M$74:$AP$74))</f>
        <v>1661583.2588355243</v>
      </c>
      <c r="F91" s="106">
        <f>F129*(F66+SUM($M$74:$AP$74))</f>
        <v>111120.83162944105</v>
      </c>
      <c r="G91" s="106">
        <f>G129*(G66+SUM($M$74:$AP$74))</f>
        <v>111120.83162944105</v>
      </c>
      <c r="H91" s="226" t="s">
        <v>257</v>
      </c>
      <c r="I91" s="226"/>
      <c r="J91" s="226"/>
      <c r="K91" s="226"/>
      <c r="L91" s="226"/>
      <c r="M91" s="236" t="s">
        <v>258</v>
      </c>
      <c r="N91" s="237"/>
      <c r="O91" s="237"/>
      <c r="P91" s="237"/>
      <c r="Q91" s="237"/>
      <c r="R91" s="238"/>
    </row>
    <row r="92" spans="1:18" ht="29.1" customHeight="1" outlineLevel="2" x14ac:dyDescent="0.25">
      <c r="A92" s="156" t="s">
        <v>42</v>
      </c>
      <c r="B92" s="5" t="s">
        <v>201</v>
      </c>
      <c r="C92" s="5" t="s">
        <v>35</v>
      </c>
      <c r="D92" s="10">
        <v>0</v>
      </c>
      <c r="E92" s="10">
        <v>0</v>
      </c>
      <c r="F92" s="10">
        <v>0</v>
      </c>
      <c r="G92" s="10">
        <v>20000</v>
      </c>
      <c r="H92" s="226" t="s">
        <v>259</v>
      </c>
      <c r="I92" s="226"/>
      <c r="J92" s="226"/>
      <c r="K92" s="226"/>
      <c r="L92" s="226"/>
      <c r="M92" s="236" t="s">
        <v>260</v>
      </c>
      <c r="N92" s="237"/>
      <c r="O92" s="237"/>
      <c r="P92" s="237"/>
      <c r="Q92" s="237"/>
      <c r="R92" s="238"/>
    </row>
    <row r="93" spans="1:18" ht="29.1" customHeight="1" outlineLevel="2" x14ac:dyDescent="0.25">
      <c r="A93" s="156" t="s">
        <v>38</v>
      </c>
      <c r="B93" s="5" t="s">
        <v>202</v>
      </c>
      <c r="C93" s="5" t="s">
        <v>35</v>
      </c>
      <c r="D93" s="10">
        <v>0</v>
      </c>
      <c r="E93" s="10">
        <v>0</v>
      </c>
      <c r="F93" s="10">
        <v>260000</v>
      </c>
      <c r="G93" s="10">
        <v>0</v>
      </c>
      <c r="H93" s="226" t="s">
        <v>261</v>
      </c>
      <c r="I93" s="226"/>
      <c r="J93" s="226"/>
      <c r="K93" s="226"/>
      <c r="L93" s="226"/>
      <c r="M93" s="236" t="s">
        <v>262</v>
      </c>
      <c r="N93" s="237"/>
      <c r="O93" s="237"/>
      <c r="P93" s="237"/>
      <c r="Q93" s="237"/>
      <c r="R93" s="238"/>
    </row>
    <row r="94" spans="1:18" ht="15.75" outlineLevel="2" thickBot="1" x14ac:dyDescent="0.3">
      <c r="A94" s="156" t="s">
        <v>46</v>
      </c>
      <c r="B94" s="17" t="s">
        <v>34</v>
      </c>
      <c r="C94" s="16" t="s">
        <v>35</v>
      </c>
      <c r="D94" s="98">
        <f>SUM(D86:D92)-D93</f>
        <v>2255120.8316294411</v>
      </c>
      <c r="E94" s="98">
        <f t="shared" ref="E94:G94" si="43">SUM(E86:E92)-E93</f>
        <v>6619822.9273563847</v>
      </c>
      <c r="F94" s="98">
        <f t="shared" si="43"/>
        <v>1995120.8316294411</v>
      </c>
      <c r="G94" s="98">
        <f t="shared" si="43"/>
        <v>2275120.8316294411</v>
      </c>
      <c r="H94" s="226"/>
      <c r="I94" s="226"/>
      <c r="J94" s="226"/>
      <c r="K94" s="226"/>
      <c r="L94" s="226"/>
      <c r="M94" s="236"/>
      <c r="N94" s="237"/>
      <c r="O94" s="237"/>
      <c r="P94" s="237"/>
      <c r="Q94" s="237"/>
      <c r="R94" s="238"/>
    </row>
    <row r="95" spans="1:18" ht="15.75" outlineLevel="1" thickTop="1" x14ac:dyDescent="0.25">
      <c r="B95" s="8"/>
    </row>
    <row r="96" spans="1:18" s="9" customFormat="1" ht="15.75" outlineLevel="1" thickBot="1" x14ac:dyDescent="0.3">
      <c r="A96" s="9" t="s">
        <v>203</v>
      </c>
    </row>
    <row r="97" spans="1:18" outlineLevel="1" x14ac:dyDescent="0.25">
      <c r="B97" s="8"/>
    </row>
    <row r="98" spans="1:18" s="21" customFormat="1" outlineLevel="2" x14ac:dyDescent="0.25">
      <c r="A98" s="21" t="s">
        <v>204</v>
      </c>
    </row>
    <row r="99" spans="1:18" ht="22.35" customHeight="1" outlineLevel="1" x14ac:dyDescent="0.25">
      <c r="B99" s="8"/>
      <c r="C99" s="6" t="s">
        <v>61</v>
      </c>
      <c r="D99" s="39" t="str">
        <f>"Variant"&amp;" "&amp;$A$17</f>
        <v>Variant 3a</v>
      </c>
      <c r="E99" s="39" t="str">
        <f>"Variant"&amp;" "&amp;$A$18</f>
        <v>Variant 3b</v>
      </c>
      <c r="F99" s="39" t="str">
        <f>"Variant"&amp;" "&amp;$A$19</f>
        <v>Variant 3c</v>
      </c>
      <c r="G99" s="39" t="str">
        <f>"Variant"&amp;" "&amp;$A$20</f>
        <v>Variant 3d</v>
      </c>
      <c r="H99" s="225" t="s">
        <v>32</v>
      </c>
      <c r="I99" s="225"/>
      <c r="J99" s="225"/>
      <c r="K99" s="225"/>
      <c r="L99" s="225"/>
      <c r="M99" s="225" t="s">
        <v>33</v>
      </c>
      <c r="N99" s="225"/>
      <c r="O99" s="225"/>
      <c r="P99" s="225"/>
      <c r="Q99" s="225"/>
      <c r="R99" s="225"/>
    </row>
    <row r="100" spans="1:18" ht="14.45" customHeight="1" outlineLevel="1" x14ac:dyDescent="0.25">
      <c r="B100" s="5" t="s">
        <v>88</v>
      </c>
      <c r="C100" s="5" t="s">
        <v>89</v>
      </c>
      <c r="D100" s="162" t="s">
        <v>90</v>
      </c>
      <c r="E100" s="162" t="s">
        <v>90</v>
      </c>
      <c r="F100" s="162" t="s">
        <v>90</v>
      </c>
      <c r="G100" s="162" t="s">
        <v>90</v>
      </c>
      <c r="H100" s="226" t="s">
        <v>92</v>
      </c>
      <c r="I100" s="226"/>
      <c r="J100" s="226"/>
      <c r="K100" s="226"/>
      <c r="L100" s="226"/>
      <c r="M100" s="236" t="s">
        <v>263</v>
      </c>
      <c r="N100" s="237"/>
      <c r="O100" s="237"/>
      <c r="P100" s="237"/>
      <c r="Q100" s="237"/>
      <c r="R100" s="238"/>
    </row>
    <row r="101" spans="1:18" ht="25.35" customHeight="1" outlineLevel="1" x14ac:dyDescent="0.25">
      <c r="B101" s="7"/>
      <c r="C101" s="31"/>
      <c r="D101" s="33"/>
      <c r="E101" s="33"/>
      <c r="F101" s="33"/>
      <c r="G101" s="33"/>
      <c r="H101" s="33"/>
      <c r="I101" s="31"/>
      <c r="J101" s="24"/>
      <c r="K101" s="24"/>
      <c r="N101" s="23"/>
    </row>
    <row r="102" spans="1:18" ht="25.35" customHeight="1" outlineLevel="1" x14ac:dyDescent="0.25">
      <c r="B102" s="6" t="s">
        <v>93</v>
      </c>
      <c r="C102" s="6" t="s">
        <v>61</v>
      </c>
      <c r="D102" s="39" t="str">
        <f>"Variant"&amp;" "&amp;$A$17</f>
        <v>Variant 3a</v>
      </c>
      <c r="E102" s="39" t="str">
        <f>"Variant"&amp;" "&amp;$A$18</f>
        <v>Variant 3b</v>
      </c>
      <c r="F102" s="39" t="str">
        <f>"Variant"&amp;" "&amp;$A$19</f>
        <v>Variant 3c</v>
      </c>
      <c r="G102" s="39" t="str">
        <f>"Variant"&amp;" "&amp;$A$20</f>
        <v>Variant 3d</v>
      </c>
      <c r="H102" s="225" t="s">
        <v>32</v>
      </c>
      <c r="I102" s="225"/>
      <c r="J102" s="225"/>
      <c r="K102" s="225"/>
      <c r="L102" s="225"/>
      <c r="M102" s="225" t="s">
        <v>33</v>
      </c>
      <c r="N102" s="225"/>
      <c r="O102" s="225"/>
      <c r="P102" s="225"/>
      <c r="Q102" s="225"/>
      <c r="R102" s="225"/>
    </row>
    <row r="103" spans="1:18" ht="14.25" customHeight="1" outlineLevel="1" x14ac:dyDescent="0.25">
      <c r="B103" s="42" t="s">
        <v>94</v>
      </c>
      <c r="C103" s="5" t="s">
        <v>95</v>
      </c>
      <c r="D103" s="26">
        <f>IF(D$100="","",_xlfn.XLOOKUP(D$100,'Network costing zones'!$D$4:$F$4,'Network costing zones'!$D5:$F5,"error"))</f>
        <v>240</v>
      </c>
      <c r="E103" s="26">
        <f>IF(E$100="","",_xlfn.XLOOKUP(E$100,'Network costing zones'!$D$4:$F$4,'Network costing zones'!$D5:$F5,"error"))</f>
        <v>240</v>
      </c>
      <c r="F103" s="26">
        <f>IF(F$100="","",_xlfn.XLOOKUP(F$100,'Network costing zones'!$D$4:$F$4,'Network costing zones'!$D5:$F5,"error"))</f>
        <v>240</v>
      </c>
      <c r="G103" s="26">
        <f>IF(G$100="","",_xlfn.XLOOKUP(G$100,'Network costing zones'!$D$4:$F$4,'Network costing zones'!$D5:$F5,"error"))</f>
        <v>240</v>
      </c>
      <c r="H103" s="226" t="s">
        <v>96</v>
      </c>
      <c r="I103" s="226"/>
      <c r="J103" s="226"/>
      <c r="K103" s="226"/>
      <c r="L103" s="226"/>
      <c r="M103" s="227" t="s">
        <v>264</v>
      </c>
      <c r="N103" s="228"/>
      <c r="O103" s="228"/>
      <c r="P103" s="228"/>
      <c r="Q103" s="228"/>
      <c r="R103" s="229"/>
    </row>
    <row r="104" spans="1:18" ht="14.25" customHeight="1" outlineLevel="1" x14ac:dyDescent="0.25">
      <c r="B104" s="42" t="s">
        <v>97</v>
      </c>
      <c r="C104" s="5" t="s">
        <v>95</v>
      </c>
      <c r="D104" s="26">
        <f>IF(D$100="","",_xlfn.XLOOKUP(D$100,'Network costing zones'!$D$4:$F$4,'Network costing zones'!$D6:$F6,"error"))</f>
        <v>600</v>
      </c>
      <c r="E104" s="26">
        <f>IF(E$100="","",_xlfn.XLOOKUP(E$100,'Network costing zones'!$D$4:$F$4,'Network costing zones'!$D6:$F6,"error"))</f>
        <v>600</v>
      </c>
      <c r="F104" s="26">
        <f>IF(F$100="","",_xlfn.XLOOKUP(F$100,'Network costing zones'!$D$4:$F$4,'Network costing zones'!$D6:$F6,"error"))</f>
        <v>600</v>
      </c>
      <c r="G104" s="26">
        <f>IF(G$100="","",_xlfn.XLOOKUP(G$100,'Network costing zones'!$D$4:$F$4,'Network costing zones'!$D6:$F6,"error"))</f>
        <v>600</v>
      </c>
      <c r="H104" s="226" t="s">
        <v>98</v>
      </c>
      <c r="I104" s="226"/>
      <c r="J104" s="226"/>
      <c r="K104" s="226"/>
      <c r="L104" s="226"/>
      <c r="M104" s="230"/>
      <c r="N104" s="231"/>
      <c r="O104" s="231"/>
      <c r="P104" s="231"/>
      <c r="Q104" s="231"/>
      <c r="R104" s="232"/>
    </row>
    <row r="105" spans="1:18" ht="14.25" customHeight="1" outlineLevel="1" x14ac:dyDescent="0.25">
      <c r="B105" s="42" t="s">
        <v>99</v>
      </c>
      <c r="C105" s="5" t="s">
        <v>95</v>
      </c>
      <c r="D105" s="26">
        <f>IF(D$100="","",_xlfn.XLOOKUP(D$100,'Network costing zones'!$D$4:$F$4,'Network costing zones'!$D7:$F7,"error"))</f>
        <v>85</v>
      </c>
      <c r="E105" s="26">
        <f>IF(E$100="","",_xlfn.XLOOKUP(E$100,'Network costing zones'!$D$4:$F$4,'Network costing zones'!$D7:$F7,"error"))</f>
        <v>85</v>
      </c>
      <c r="F105" s="26">
        <f>IF(F$100="","",_xlfn.XLOOKUP(F$100,'Network costing zones'!$D$4:$F$4,'Network costing zones'!$D7:$F7,"error"))</f>
        <v>85</v>
      </c>
      <c r="G105" s="26">
        <f>IF(G$100="","",_xlfn.XLOOKUP(G$100,'Network costing zones'!$D$4:$F$4,'Network costing zones'!$D7:$F7,"error"))</f>
        <v>85</v>
      </c>
      <c r="H105" s="226" t="s">
        <v>100</v>
      </c>
      <c r="I105" s="226"/>
      <c r="J105" s="226"/>
      <c r="K105" s="226"/>
      <c r="L105" s="226"/>
      <c r="M105" s="230"/>
      <c r="N105" s="231"/>
      <c r="O105" s="231"/>
      <c r="P105" s="231"/>
      <c r="Q105" s="231"/>
      <c r="R105" s="232"/>
    </row>
    <row r="106" spans="1:18" ht="14.25" customHeight="1" outlineLevel="1" x14ac:dyDescent="0.25">
      <c r="B106" s="42" t="s">
        <v>101</v>
      </c>
      <c r="C106" s="5" t="s">
        <v>95</v>
      </c>
      <c r="D106" s="26">
        <f>IF(D$100="","",_xlfn.XLOOKUP(D$100,'Network costing zones'!$D$4:$F$4,'Network costing zones'!$D8:$F8,"error"))</f>
        <v>380</v>
      </c>
      <c r="E106" s="26">
        <f>IF(E$100="","",_xlfn.XLOOKUP(E$100,'Network costing zones'!$D$4:$F$4,'Network costing zones'!$D8:$F8,"error"))</f>
        <v>380</v>
      </c>
      <c r="F106" s="26">
        <f>IF(F$100="","",_xlfn.XLOOKUP(F$100,'Network costing zones'!$D$4:$F$4,'Network costing zones'!$D8:$F8,"error"))</f>
        <v>380</v>
      </c>
      <c r="G106" s="26">
        <f>IF(G$100="","",_xlfn.XLOOKUP(G$100,'Network costing zones'!$D$4:$F$4,'Network costing zones'!$D8:$F8,"error"))</f>
        <v>380</v>
      </c>
      <c r="H106" s="226" t="s">
        <v>102</v>
      </c>
      <c r="I106" s="226"/>
      <c r="J106" s="226"/>
      <c r="K106" s="226"/>
      <c r="L106" s="226"/>
      <c r="M106" s="230"/>
      <c r="N106" s="231"/>
      <c r="O106" s="231"/>
      <c r="P106" s="231"/>
      <c r="Q106" s="231"/>
      <c r="R106" s="232"/>
    </row>
    <row r="107" spans="1:18" ht="14.25" customHeight="1" outlineLevel="1" x14ac:dyDescent="0.25">
      <c r="B107" s="42" t="s">
        <v>103</v>
      </c>
      <c r="C107" s="5" t="s">
        <v>95</v>
      </c>
      <c r="D107" s="26">
        <f>IF(D$100="","",_xlfn.XLOOKUP(D$100,'Network costing zones'!$D$4:$F$4,'Network costing zones'!$D9:$F9,"error"))</f>
        <v>140</v>
      </c>
      <c r="E107" s="26">
        <f>IF(E$100="","",_xlfn.XLOOKUP(E$100,'Network costing zones'!$D$4:$F$4,'Network costing zones'!$D9:$F9,"error"))</f>
        <v>140</v>
      </c>
      <c r="F107" s="26">
        <f>IF(F$100="","",_xlfn.XLOOKUP(F$100,'Network costing zones'!$D$4:$F$4,'Network costing zones'!$D9:$F9,"error"))</f>
        <v>140</v>
      </c>
      <c r="G107" s="26">
        <f>IF(G$100="","",_xlfn.XLOOKUP(G$100,'Network costing zones'!$D$4:$F$4,'Network costing zones'!$D9:$F9,"error"))</f>
        <v>140</v>
      </c>
      <c r="H107" s="226" t="s">
        <v>104</v>
      </c>
      <c r="I107" s="226"/>
      <c r="J107" s="226"/>
      <c r="K107" s="226"/>
      <c r="L107" s="226"/>
      <c r="M107" s="233"/>
      <c r="N107" s="234"/>
      <c r="O107" s="234"/>
      <c r="P107" s="234"/>
      <c r="Q107" s="234"/>
      <c r="R107" s="235"/>
    </row>
    <row r="108" spans="1:18" ht="22.35" customHeight="1" outlineLevel="1" x14ac:dyDescent="0.25">
      <c r="B108" s="32"/>
      <c r="D108" s="27"/>
      <c r="E108" s="27"/>
      <c r="F108" s="27"/>
      <c r="G108" s="27"/>
      <c r="H108" s="27"/>
      <c r="I108" s="24"/>
      <c r="J108" s="24"/>
      <c r="K108" s="24"/>
    </row>
    <row r="109" spans="1:18" ht="22.35" customHeight="1" outlineLevel="1" x14ac:dyDescent="0.25">
      <c r="B109" s="6" t="s">
        <v>105</v>
      </c>
      <c r="C109" s="6" t="s">
        <v>61</v>
      </c>
      <c r="D109" s="39" t="str">
        <f>"Variant"&amp;" "&amp;$A$17</f>
        <v>Variant 3a</v>
      </c>
      <c r="E109" s="39" t="str">
        <f>"Variant"&amp;" "&amp;$A$18</f>
        <v>Variant 3b</v>
      </c>
      <c r="F109" s="39" t="str">
        <f>"Variant"&amp;" "&amp;$A$19</f>
        <v>Variant 3c</v>
      </c>
      <c r="G109" s="39" t="str">
        <f>"Variant"&amp;" "&amp;$A$20</f>
        <v>Variant 3d</v>
      </c>
      <c r="H109" s="225" t="s">
        <v>32</v>
      </c>
      <c r="I109" s="225"/>
      <c r="J109" s="225"/>
      <c r="K109" s="225"/>
      <c r="L109" s="225"/>
      <c r="M109" s="225" t="s">
        <v>33</v>
      </c>
      <c r="N109" s="225"/>
      <c r="O109" s="225"/>
      <c r="P109" s="225"/>
      <c r="Q109" s="225"/>
      <c r="R109" s="225"/>
    </row>
    <row r="110" spans="1:18" ht="14.45" customHeight="1" outlineLevel="1" x14ac:dyDescent="0.25">
      <c r="B110" s="42" t="s">
        <v>94</v>
      </c>
      <c r="C110" s="5" t="s">
        <v>106</v>
      </c>
      <c r="D110" s="79">
        <v>0</v>
      </c>
      <c r="E110" s="79">
        <v>0</v>
      </c>
      <c r="F110" s="79">
        <v>0</v>
      </c>
      <c r="G110" s="79">
        <v>0</v>
      </c>
      <c r="H110" s="226" t="s">
        <v>107</v>
      </c>
      <c r="I110" s="226"/>
      <c r="J110" s="226"/>
      <c r="K110" s="226"/>
      <c r="L110" s="226"/>
      <c r="M110" s="227" t="s">
        <v>265</v>
      </c>
      <c r="N110" s="228"/>
      <c r="O110" s="228"/>
      <c r="P110" s="228"/>
      <c r="Q110" s="228"/>
      <c r="R110" s="229"/>
    </row>
    <row r="111" spans="1:18" ht="14.45" customHeight="1" outlineLevel="1" x14ac:dyDescent="0.25">
      <c r="B111" s="42" t="s">
        <v>97</v>
      </c>
      <c r="C111" s="5" t="s">
        <v>106</v>
      </c>
      <c r="D111" s="79">
        <v>0</v>
      </c>
      <c r="E111" s="79">
        <v>0</v>
      </c>
      <c r="F111" s="79">
        <v>0</v>
      </c>
      <c r="G111" s="79">
        <v>0</v>
      </c>
      <c r="H111" s="226" t="s">
        <v>108</v>
      </c>
      <c r="I111" s="226"/>
      <c r="J111" s="226"/>
      <c r="K111" s="226"/>
      <c r="L111" s="226"/>
      <c r="M111" s="230"/>
      <c r="N111" s="231"/>
      <c r="O111" s="231"/>
      <c r="P111" s="231"/>
      <c r="Q111" s="231"/>
      <c r="R111" s="232"/>
    </row>
    <row r="112" spans="1:18" ht="14.45" customHeight="1" outlineLevel="1" x14ac:dyDescent="0.25">
      <c r="B112" s="42" t="s">
        <v>99</v>
      </c>
      <c r="C112" s="5" t="s">
        <v>106</v>
      </c>
      <c r="D112" s="79">
        <v>0</v>
      </c>
      <c r="E112" s="79">
        <v>0</v>
      </c>
      <c r="F112" s="79">
        <v>0</v>
      </c>
      <c r="G112" s="79">
        <v>0</v>
      </c>
      <c r="H112" s="226" t="s">
        <v>109</v>
      </c>
      <c r="I112" s="226"/>
      <c r="J112" s="226"/>
      <c r="K112" s="226"/>
      <c r="L112" s="226"/>
      <c r="M112" s="233"/>
      <c r="N112" s="234"/>
      <c r="O112" s="234"/>
      <c r="P112" s="234"/>
      <c r="Q112" s="234"/>
      <c r="R112" s="235"/>
    </row>
    <row r="113" spans="1:18" ht="14.45" customHeight="1" outlineLevel="1" x14ac:dyDescent="0.25">
      <c r="B113" s="42" t="s">
        <v>101</v>
      </c>
      <c r="C113" s="5" t="s">
        <v>106</v>
      </c>
      <c r="D113" s="10">
        <v>4000</v>
      </c>
      <c r="E113" s="10">
        <v>0</v>
      </c>
      <c r="F113" s="10">
        <v>4000</v>
      </c>
      <c r="G113" s="10">
        <v>4000</v>
      </c>
      <c r="H113" s="226" t="s">
        <v>110</v>
      </c>
      <c r="I113" s="226"/>
      <c r="J113" s="226"/>
      <c r="K113" s="226"/>
      <c r="L113" s="226"/>
      <c r="M113" s="227" t="s">
        <v>266</v>
      </c>
      <c r="N113" s="228"/>
      <c r="O113" s="228"/>
      <c r="P113" s="228"/>
      <c r="Q113" s="228"/>
      <c r="R113" s="229"/>
    </row>
    <row r="114" spans="1:18" ht="14.45" customHeight="1" outlineLevel="1" x14ac:dyDescent="0.25">
      <c r="B114" s="42" t="s">
        <v>103</v>
      </c>
      <c r="C114" s="5" t="s">
        <v>106</v>
      </c>
      <c r="D114" s="10">
        <v>3000</v>
      </c>
      <c r="E114" s="10">
        <v>0</v>
      </c>
      <c r="F114" s="10">
        <v>3000</v>
      </c>
      <c r="G114" s="10">
        <v>3000</v>
      </c>
      <c r="H114" s="226" t="s">
        <v>111</v>
      </c>
      <c r="I114" s="226"/>
      <c r="J114" s="226"/>
      <c r="K114" s="226"/>
      <c r="L114" s="226"/>
      <c r="M114" s="233"/>
      <c r="N114" s="234"/>
      <c r="O114" s="234"/>
      <c r="P114" s="234"/>
      <c r="Q114" s="234"/>
      <c r="R114" s="235"/>
    </row>
    <row r="115" spans="1:18" ht="14.45" customHeight="1" outlineLevel="1" x14ac:dyDescent="0.25">
      <c r="B115" s="58"/>
      <c r="D115" s="23"/>
      <c r="E115" s="23"/>
      <c r="F115" s="23"/>
      <c r="G115" s="23"/>
      <c r="H115" s="23"/>
      <c r="I115" s="44"/>
      <c r="J115" s="44"/>
      <c r="K115" s="44"/>
      <c r="M115" s="44"/>
      <c r="N115" s="44"/>
      <c r="O115" s="44"/>
      <c r="P115" s="44"/>
    </row>
    <row r="116" spans="1:18" outlineLevel="3" x14ac:dyDescent="0.25">
      <c r="B116" s="6" t="s">
        <v>221</v>
      </c>
      <c r="C116" s="6" t="s">
        <v>61</v>
      </c>
      <c r="D116" s="39" t="str">
        <f>"Variant"&amp;" "&amp;$A$17</f>
        <v>Variant 3a</v>
      </c>
      <c r="E116" s="39" t="str">
        <f>"Variant"&amp;" "&amp;$A$18</f>
        <v>Variant 3b</v>
      </c>
      <c r="F116" s="39" t="str">
        <f>"Variant"&amp;" "&amp;$A$19</f>
        <v>Variant 3c</v>
      </c>
      <c r="G116" s="39" t="str">
        <f>"Variant"&amp;" "&amp;$A$20</f>
        <v>Variant 3d</v>
      </c>
      <c r="H116" s="225" t="s">
        <v>32</v>
      </c>
      <c r="I116" s="225"/>
      <c r="J116" s="225"/>
      <c r="K116" s="225"/>
      <c r="L116" s="225"/>
      <c r="M116" s="225" t="s">
        <v>33</v>
      </c>
      <c r="N116" s="225"/>
      <c r="O116" s="225"/>
      <c r="P116" s="225"/>
      <c r="Q116" s="225"/>
      <c r="R116" s="225"/>
    </row>
    <row r="117" spans="1:18" outlineLevel="3" x14ac:dyDescent="0.25">
      <c r="A117" s="156"/>
      <c r="B117" s="5" t="str">
        <f>B103</f>
        <v>Low voltage mains (LV)</v>
      </c>
      <c r="C117" s="5" t="s">
        <v>35</v>
      </c>
      <c r="D117" s="106">
        <f t="shared" ref="D117:G121" si="44">D103*D110</f>
        <v>0</v>
      </c>
      <c r="E117" s="106">
        <f t="shared" si="44"/>
        <v>0</v>
      </c>
      <c r="F117" s="106">
        <f t="shared" si="44"/>
        <v>0</v>
      </c>
      <c r="G117" s="106">
        <f t="shared" si="44"/>
        <v>0</v>
      </c>
      <c r="H117" s="226" t="s">
        <v>112</v>
      </c>
      <c r="I117" s="226"/>
      <c r="J117" s="226"/>
      <c r="K117" s="226"/>
      <c r="L117" s="226"/>
      <c r="M117" s="236"/>
      <c r="N117" s="237"/>
      <c r="O117" s="237"/>
      <c r="P117" s="237"/>
      <c r="Q117" s="237"/>
      <c r="R117" s="238"/>
    </row>
    <row r="118" spans="1:18" outlineLevel="3" x14ac:dyDescent="0.25">
      <c r="A118" s="156" t="s">
        <v>42</v>
      </c>
      <c r="B118" s="5" t="str">
        <f>B104</f>
        <v>Distribution substation (DS)</v>
      </c>
      <c r="C118" s="5" t="s">
        <v>35</v>
      </c>
      <c r="D118" s="106">
        <f t="shared" si="44"/>
        <v>0</v>
      </c>
      <c r="E118" s="106">
        <f t="shared" si="44"/>
        <v>0</v>
      </c>
      <c r="F118" s="106">
        <f t="shared" si="44"/>
        <v>0</v>
      </c>
      <c r="G118" s="106">
        <f t="shared" si="44"/>
        <v>0</v>
      </c>
      <c r="H118" s="226" t="s">
        <v>113</v>
      </c>
      <c r="I118" s="226"/>
      <c r="J118" s="226"/>
      <c r="K118" s="226"/>
      <c r="L118" s="226"/>
      <c r="M118" s="236"/>
      <c r="N118" s="237"/>
      <c r="O118" s="237"/>
      <c r="P118" s="237"/>
      <c r="Q118" s="237"/>
      <c r="R118" s="238"/>
    </row>
    <row r="119" spans="1:18" outlineLevel="3" x14ac:dyDescent="0.25">
      <c r="A119" s="156" t="s">
        <v>42</v>
      </c>
      <c r="B119" s="5" t="str">
        <f>B105</f>
        <v>High voltage feeder (HVF)</v>
      </c>
      <c r="C119" s="5" t="s">
        <v>35</v>
      </c>
      <c r="D119" s="106">
        <f t="shared" si="44"/>
        <v>0</v>
      </c>
      <c r="E119" s="106">
        <f t="shared" si="44"/>
        <v>0</v>
      </c>
      <c r="F119" s="106">
        <f t="shared" si="44"/>
        <v>0</v>
      </c>
      <c r="G119" s="106">
        <f t="shared" si="44"/>
        <v>0</v>
      </c>
      <c r="H119" s="226" t="s">
        <v>114</v>
      </c>
      <c r="I119" s="226"/>
      <c r="J119" s="226"/>
      <c r="K119" s="226"/>
      <c r="L119" s="226"/>
      <c r="M119" s="236"/>
      <c r="N119" s="237"/>
      <c r="O119" s="237"/>
      <c r="P119" s="237"/>
      <c r="Q119" s="237"/>
      <c r="R119" s="238"/>
    </row>
    <row r="120" spans="1:18" outlineLevel="3" x14ac:dyDescent="0.25">
      <c r="A120" s="156" t="s">
        <v>42</v>
      </c>
      <c r="B120" s="5" t="str">
        <f>B106</f>
        <v>Zone substation (ZS)</v>
      </c>
      <c r="C120" s="5" t="s">
        <v>35</v>
      </c>
      <c r="D120" s="106">
        <f t="shared" si="44"/>
        <v>1520000</v>
      </c>
      <c r="E120" s="106">
        <f t="shared" si="44"/>
        <v>0</v>
      </c>
      <c r="F120" s="106">
        <f t="shared" si="44"/>
        <v>1520000</v>
      </c>
      <c r="G120" s="106">
        <f t="shared" si="44"/>
        <v>1520000</v>
      </c>
      <c r="H120" s="226" t="s">
        <v>115</v>
      </c>
      <c r="I120" s="226"/>
      <c r="J120" s="226"/>
      <c r="K120" s="226"/>
      <c r="L120" s="226"/>
      <c r="M120" s="236"/>
      <c r="N120" s="237"/>
      <c r="O120" s="237"/>
      <c r="P120" s="237"/>
      <c r="Q120" s="237"/>
      <c r="R120" s="238"/>
    </row>
    <row r="121" spans="1:18" outlineLevel="3" x14ac:dyDescent="0.25">
      <c r="A121" s="156" t="s">
        <v>42</v>
      </c>
      <c r="B121" s="5" t="str">
        <f>B107</f>
        <v>Sub-transmission line (STL)</v>
      </c>
      <c r="C121" s="5" t="s">
        <v>35</v>
      </c>
      <c r="D121" s="106">
        <f t="shared" si="44"/>
        <v>420000</v>
      </c>
      <c r="E121" s="106">
        <f t="shared" si="44"/>
        <v>0</v>
      </c>
      <c r="F121" s="106">
        <f t="shared" si="44"/>
        <v>420000</v>
      </c>
      <c r="G121" s="106">
        <f t="shared" si="44"/>
        <v>420000</v>
      </c>
      <c r="H121" s="226" t="s">
        <v>116</v>
      </c>
      <c r="I121" s="226"/>
      <c r="J121" s="226"/>
      <c r="K121" s="226"/>
      <c r="L121" s="226"/>
      <c r="M121" s="236"/>
      <c r="N121" s="237"/>
      <c r="O121" s="237"/>
      <c r="P121" s="237"/>
      <c r="Q121" s="237"/>
      <c r="R121" s="238"/>
    </row>
    <row r="122" spans="1:18" ht="15.75" outlineLevel="3" thickBot="1" x14ac:dyDescent="0.3">
      <c r="A122" s="156" t="s">
        <v>46</v>
      </c>
      <c r="B122" s="17" t="s">
        <v>199</v>
      </c>
      <c r="C122" s="16" t="s">
        <v>35</v>
      </c>
      <c r="D122" s="98">
        <f>SUM(D117:D121)</f>
        <v>1940000</v>
      </c>
      <c r="E122" s="98">
        <f t="shared" ref="E122:G122" si="45">SUM(E117:E121)</f>
        <v>0</v>
      </c>
      <c r="F122" s="98">
        <f t="shared" si="45"/>
        <v>1940000</v>
      </c>
      <c r="G122" s="98">
        <f t="shared" si="45"/>
        <v>1940000</v>
      </c>
      <c r="H122" s="226"/>
      <c r="I122" s="226"/>
      <c r="J122" s="226"/>
      <c r="K122" s="226"/>
      <c r="L122" s="226"/>
      <c r="M122" s="236"/>
      <c r="N122" s="237"/>
      <c r="O122" s="237"/>
      <c r="P122" s="237"/>
      <c r="Q122" s="237"/>
      <c r="R122" s="238"/>
    </row>
    <row r="123" spans="1:18" ht="15.75" outlineLevel="3" thickTop="1" x14ac:dyDescent="0.25"/>
    <row r="124" spans="1:18" outlineLevel="3" x14ac:dyDescent="0.25">
      <c r="A124" s="21" t="s">
        <v>267</v>
      </c>
    </row>
    <row r="125" spans="1:18" outlineLevel="3" x14ac:dyDescent="0.25">
      <c r="A125" s="21"/>
    </row>
    <row r="126" spans="1:18" ht="14.45" customHeight="1" outlineLevel="1" x14ac:dyDescent="0.25">
      <c r="B126" s="58"/>
      <c r="C126" s="113" t="s">
        <v>61</v>
      </c>
      <c r="D126" s="113" t="str">
        <f>"Variant"&amp;" "&amp;$A$17</f>
        <v>Variant 3a</v>
      </c>
      <c r="E126" s="113" t="str">
        <f>"Variant"&amp;" "&amp;$A$18</f>
        <v>Variant 3b</v>
      </c>
      <c r="F126" s="113" t="str">
        <f>"Variant"&amp;" "&amp;$A$19</f>
        <v>Variant 3c</v>
      </c>
      <c r="G126" s="113" t="str">
        <f>"Variant"&amp;" "&amp;$A$20</f>
        <v>Variant 3d</v>
      </c>
      <c r="H126" s="225" t="s">
        <v>32</v>
      </c>
      <c r="I126" s="225"/>
      <c r="J126" s="225"/>
      <c r="K126" s="225"/>
      <c r="L126" s="225"/>
      <c r="M126" s="225" t="s">
        <v>33</v>
      </c>
      <c r="N126" s="225"/>
      <c r="O126" s="225"/>
      <c r="P126" s="225"/>
      <c r="Q126" s="225"/>
      <c r="R126" s="225"/>
    </row>
    <row r="127" spans="1:18" ht="14.45" customHeight="1" outlineLevel="1" x14ac:dyDescent="0.25">
      <c r="B127" s="42" t="s">
        <v>268</v>
      </c>
      <c r="C127" s="5" t="s">
        <v>35</v>
      </c>
      <c r="D127" s="26">
        <f>D86</f>
        <v>204000</v>
      </c>
      <c r="E127" s="26">
        <f t="shared" ref="E127:G127" si="46">E86</f>
        <v>3050400</v>
      </c>
      <c r="F127" s="26">
        <f t="shared" si="46"/>
        <v>204000</v>
      </c>
      <c r="G127" s="26">
        <f t="shared" si="46"/>
        <v>204000</v>
      </c>
      <c r="H127" s="226"/>
      <c r="I127" s="226"/>
      <c r="J127" s="226"/>
      <c r="K127" s="226"/>
      <c r="L127" s="226"/>
      <c r="M127" s="236"/>
      <c r="N127" s="237"/>
      <c r="O127" s="237"/>
      <c r="P127" s="237"/>
      <c r="Q127" s="237"/>
      <c r="R127" s="238"/>
    </row>
    <row r="128" spans="1:18" ht="14.45" customHeight="1" outlineLevel="1" x14ac:dyDescent="0.25">
      <c r="B128" s="42" t="s">
        <v>269</v>
      </c>
      <c r="C128" s="5" t="s">
        <v>69</v>
      </c>
      <c r="D128" s="104">
        <v>0.05</v>
      </c>
      <c r="E128" s="104">
        <v>0.05</v>
      </c>
      <c r="F128" s="104">
        <v>0.05</v>
      </c>
      <c r="G128" s="104">
        <v>0.05</v>
      </c>
      <c r="H128" s="226"/>
      <c r="I128" s="226"/>
      <c r="J128" s="226"/>
      <c r="K128" s="226"/>
      <c r="L128" s="226"/>
      <c r="M128" s="236"/>
      <c r="N128" s="237"/>
      <c r="O128" s="237"/>
      <c r="P128" s="237"/>
      <c r="Q128" s="237"/>
      <c r="R128" s="238"/>
    </row>
    <row r="129" spans="1:42" ht="14.45" customHeight="1" outlineLevel="1" x14ac:dyDescent="0.25">
      <c r="B129" s="42" t="s">
        <v>270</v>
      </c>
      <c r="C129" s="5" t="s">
        <v>35</v>
      </c>
      <c r="D129" s="106">
        <f>D127*D128</f>
        <v>10200</v>
      </c>
      <c r="E129" s="106">
        <f t="shared" ref="E129:G129" si="47">E127*E128</f>
        <v>152520</v>
      </c>
      <c r="F129" s="106">
        <f t="shared" si="47"/>
        <v>10200</v>
      </c>
      <c r="G129" s="106">
        <f t="shared" si="47"/>
        <v>10200</v>
      </c>
      <c r="H129" s="226" t="s">
        <v>271</v>
      </c>
      <c r="I129" s="226"/>
      <c r="J129" s="226"/>
      <c r="K129" s="226"/>
      <c r="L129" s="226"/>
      <c r="M129" s="236" t="s">
        <v>272</v>
      </c>
      <c r="N129" s="237"/>
      <c r="O129" s="237"/>
      <c r="P129" s="237"/>
      <c r="Q129" s="237"/>
      <c r="R129" s="238"/>
    </row>
    <row r="130" spans="1:42" ht="14.45" customHeight="1" outlineLevel="1" x14ac:dyDescent="0.25">
      <c r="B130" s="58"/>
      <c r="D130" s="114"/>
      <c r="E130" s="44"/>
      <c r="F130" s="44"/>
      <c r="G130" s="44"/>
      <c r="H130" s="44"/>
      <c r="I130" s="44"/>
      <c r="J130" s="44"/>
      <c r="K130" s="44"/>
      <c r="L130" s="44"/>
      <c r="M130" s="44"/>
      <c r="N130" s="44"/>
      <c r="O130" s="44"/>
      <c r="P130" s="44"/>
      <c r="Q130" s="44"/>
      <c r="R130" s="44"/>
    </row>
    <row r="131" spans="1:42" ht="14.45" customHeight="1" outlineLevel="1" x14ac:dyDescent="0.25">
      <c r="B131" s="256" t="s">
        <v>229</v>
      </c>
      <c r="C131" s="256"/>
      <c r="D131" s="256"/>
      <c r="E131" s="256"/>
      <c r="F131" s="256"/>
      <c r="G131" s="256"/>
      <c r="H131" s="256"/>
      <c r="I131" s="256"/>
      <c r="J131" s="256"/>
      <c r="K131" s="256"/>
      <c r="L131" s="256"/>
      <c r="M131" s="256"/>
      <c r="N131" s="256"/>
      <c r="O131" s="256"/>
      <c r="P131" s="256"/>
      <c r="Q131" s="256"/>
      <c r="R131" s="256"/>
    </row>
    <row r="132" spans="1:42" ht="14.45" customHeight="1" outlineLevel="1" x14ac:dyDescent="0.25">
      <c r="B132" s="58"/>
      <c r="D132" s="114"/>
      <c r="E132" s="44"/>
      <c r="F132" s="44"/>
      <c r="G132" s="44"/>
      <c r="H132" s="44"/>
      <c r="I132" s="44"/>
      <c r="J132" s="44"/>
      <c r="K132" s="44"/>
      <c r="L132" s="44"/>
      <c r="M132" s="44"/>
      <c r="N132" s="44"/>
      <c r="O132" s="44"/>
      <c r="P132" s="44"/>
      <c r="Q132" s="44"/>
      <c r="R132" s="44"/>
    </row>
    <row r="133" spans="1:42" outlineLevel="3" x14ac:dyDescent="0.25">
      <c r="B133" s="7" t="s">
        <v>273</v>
      </c>
      <c r="C133" s="152" t="str">
        <f>C22</f>
        <v>Variant 3b</v>
      </c>
      <c r="E133" s="120" t="s">
        <v>274</v>
      </c>
    </row>
    <row r="134" spans="1:42" outlineLevel="3" x14ac:dyDescent="0.25">
      <c r="B134" s="7"/>
      <c r="C134" s="152"/>
      <c r="E134" s="120"/>
    </row>
    <row r="135" spans="1:42" outlineLevel="2" x14ac:dyDescent="0.25">
      <c r="A135" s="4"/>
      <c r="B135" s="6" t="s">
        <v>270</v>
      </c>
      <c r="C135" s="6" t="s">
        <v>61</v>
      </c>
      <c r="D135" s="39" t="str">
        <f>$C$195</f>
        <v>Variant 3b</v>
      </c>
      <c r="E135" s="225" t="s">
        <v>32</v>
      </c>
      <c r="F135" s="225"/>
      <c r="G135" s="225"/>
      <c r="H135" s="225"/>
      <c r="I135" s="225"/>
      <c r="J135" s="225"/>
      <c r="K135" s="225"/>
      <c r="L135" s="225" t="s">
        <v>33</v>
      </c>
      <c r="M135" s="225"/>
      <c r="N135" s="225"/>
      <c r="O135" s="225"/>
      <c r="P135" s="225"/>
      <c r="Q135" s="225"/>
      <c r="R135" s="225"/>
    </row>
    <row r="136" spans="1:42" ht="14.45" customHeight="1" outlineLevel="2" x14ac:dyDescent="0.25">
      <c r="A136" s="158" t="s">
        <v>162</v>
      </c>
      <c r="B136" s="42" t="s">
        <v>270</v>
      </c>
      <c r="C136" s="5" t="s">
        <v>35</v>
      </c>
      <c r="D136" s="26">
        <f>_xlfn.XLOOKUP(Sc3_variant,$D$126:$G$126,$D$129:$G$129)</f>
        <v>152520</v>
      </c>
      <c r="E136" s="226" t="s">
        <v>271</v>
      </c>
      <c r="F136" s="226"/>
      <c r="G136" s="226"/>
      <c r="H136" s="226"/>
      <c r="I136" s="226"/>
      <c r="J136" s="226"/>
      <c r="K136" s="226"/>
      <c r="L136" s="226" t="s">
        <v>272</v>
      </c>
      <c r="M136" s="226"/>
      <c r="N136" s="226"/>
      <c r="O136" s="226"/>
      <c r="P136" s="226"/>
      <c r="Q136" s="226"/>
      <c r="R136" s="226"/>
    </row>
    <row r="137" spans="1:42" outlineLevel="3" x14ac:dyDescent="0.25">
      <c r="A137" s="158"/>
      <c r="B137" s="7"/>
      <c r="C137" s="152"/>
      <c r="E137" s="120"/>
    </row>
    <row r="138" spans="1:42" outlineLevel="3" x14ac:dyDescent="0.25">
      <c r="A138" s="158"/>
      <c r="L138" s="247" t="s">
        <v>139</v>
      </c>
      <c r="M138" s="248"/>
      <c r="N138" s="248"/>
      <c r="O138" s="248"/>
      <c r="P138" s="248"/>
      <c r="Q138" s="248"/>
      <c r="R138" s="248"/>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8"/>
      <c r="AN138" s="248"/>
      <c r="AO138" s="248"/>
      <c r="AP138" s="249"/>
    </row>
    <row r="139" spans="1:42" outlineLevel="3" x14ac:dyDescent="0.25">
      <c r="A139" s="158"/>
      <c r="B139" s="6"/>
      <c r="C139" s="6" t="s">
        <v>61</v>
      </c>
      <c r="D139" s="225" t="s">
        <v>32</v>
      </c>
      <c r="E139" s="225"/>
      <c r="F139" s="225"/>
      <c r="G139" s="225"/>
      <c r="H139" s="225" t="s">
        <v>33</v>
      </c>
      <c r="I139" s="225"/>
      <c r="J139" s="225"/>
      <c r="K139" s="225"/>
      <c r="L139" s="6">
        <v>0</v>
      </c>
      <c r="M139" s="6">
        <v>1</v>
      </c>
      <c r="N139" s="6">
        <v>2</v>
      </c>
      <c r="O139" s="6">
        <v>3</v>
      </c>
      <c r="P139" s="6">
        <v>4</v>
      </c>
      <c r="Q139" s="6">
        <v>5</v>
      </c>
      <c r="R139" s="6">
        <v>6</v>
      </c>
      <c r="S139" s="6">
        <v>7</v>
      </c>
      <c r="T139" s="6">
        <v>8</v>
      </c>
      <c r="U139" s="6">
        <v>9</v>
      </c>
      <c r="V139" s="6">
        <v>10</v>
      </c>
      <c r="W139" s="6">
        <v>11</v>
      </c>
      <c r="X139" s="6">
        <v>12</v>
      </c>
      <c r="Y139" s="6">
        <v>13</v>
      </c>
      <c r="Z139" s="6">
        <v>14</v>
      </c>
      <c r="AA139" s="6">
        <v>15</v>
      </c>
      <c r="AB139" s="6">
        <v>16</v>
      </c>
      <c r="AC139" s="6">
        <v>17</v>
      </c>
      <c r="AD139" s="6">
        <v>18</v>
      </c>
      <c r="AE139" s="6">
        <v>19</v>
      </c>
      <c r="AF139" s="6">
        <v>20</v>
      </c>
      <c r="AG139" s="6">
        <v>21</v>
      </c>
      <c r="AH139" s="6">
        <v>22</v>
      </c>
      <c r="AI139" s="6">
        <v>23</v>
      </c>
      <c r="AJ139" s="6">
        <v>24</v>
      </c>
      <c r="AK139" s="6">
        <v>25</v>
      </c>
      <c r="AL139" s="6">
        <v>26</v>
      </c>
      <c r="AM139" s="6">
        <v>27</v>
      </c>
      <c r="AN139" s="6">
        <v>28</v>
      </c>
      <c r="AO139" s="6">
        <v>29</v>
      </c>
      <c r="AP139" s="6">
        <v>30</v>
      </c>
    </row>
    <row r="140" spans="1:42" outlineLevel="3" x14ac:dyDescent="0.25">
      <c r="A140" s="158"/>
      <c r="B140" s="5" t="s">
        <v>140</v>
      </c>
      <c r="C140" s="5" t="s">
        <v>141</v>
      </c>
      <c r="D140" s="223" t="s">
        <v>193</v>
      </c>
      <c r="E140" s="223"/>
      <c r="F140" s="223"/>
      <c r="G140" s="223"/>
      <c r="H140" s="223"/>
      <c r="I140" s="223"/>
      <c r="J140" s="223"/>
      <c r="K140" s="223"/>
      <c r="L140" s="77">
        <f>L$73</f>
        <v>2026</v>
      </c>
      <c r="M140" s="77">
        <f t="shared" ref="M140:AP140" si="48">M$73</f>
        <v>2027</v>
      </c>
      <c r="N140" s="77">
        <f t="shared" si="48"/>
        <v>2028</v>
      </c>
      <c r="O140" s="77">
        <f t="shared" si="48"/>
        <v>2029</v>
      </c>
      <c r="P140" s="77">
        <f t="shared" si="48"/>
        <v>2030</v>
      </c>
      <c r="Q140" s="77">
        <f t="shared" si="48"/>
        <v>2031</v>
      </c>
      <c r="R140" s="77">
        <f t="shared" si="48"/>
        <v>2032</v>
      </c>
      <c r="S140" s="77">
        <f t="shared" si="48"/>
        <v>2033</v>
      </c>
      <c r="T140" s="77">
        <f t="shared" si="48"/>
        <v>2034</v>
      </c>
      <c r="U140" s="77">
        <f t="shared" si="48"/>
        <v>2035</v>
      </c>
      <c r="V140" s="77">
        <f t="shared" si="48"/>
        <v>2036</v>
      </c>
      <c r="W140" s="77">
        <f t="shared" si="48"/>
        <v>2037</v>
      </c>
      <c r="X140" s="77">
        <f t="shared" si="48"/>
        <v>2038</v>
      </c>
      <c r="Y140" s="77">
        <f t="shared" si="48"/>
        <v>2039</v>
      </c>
      <c r="Z140" s="77">
        <f t="shared" si="48"/>
        <v>2040</v>
      </c>
      <c r="AA140" s="77">
        <f t="shared" si="48"/>
        <v>2041</v>
      </c>
      <c r="AB140" s="77">
        <f t="shared" si="48"/>
        <v>2042</v>
      </c>
      <c r="AC140" s="77">
        <f t="shared" si="48"/>
        <v>2043</v>
      </c>
      <c r="AD140" s="77">
        <f t="shared" si="48"/>
        <v>2044</v>
      </c>
      <c r="AE140" s="77">
        <f t="shared" si="48"/>
        <v>2045</v>
      </c>
      <c r="AF140" s="77">
        <f t="shared" si="48"/>
        <v>2046</v>
      </c>
      <c r="AG140" s="77">
        <f t="shared" si="48"/>
        <v>2047</v>
      </c>
      <c r="AH140" s="77">
        <f t="shared" si="48"/>
        <v>2048</v>
      </c>
      <c r="AI140" s="77">
        <f t="shared" si="48"/>
        <v>2049</v>
      </c>
      <c r="AJ140" s="77">
        <f t="shared" si="48"/>
        <v>2050</v>
      </c>
      <c r="AK140" s="77">
        <f t="shared" si="48"/>
        <v>2051</v>
      </c>
      <c r="AL140" s="77">
        <f t="shared" si="48"/>
        <v>2052</v>
      </c>
      <c r="AM140" s="77">
        <f t="shared" si="48"/>
        <v>2053</v>
      </c>
      <c r="AN140" s="77">
        <f t="shared" si="48"/>
        <v>2054</v>
      </c>
      <c r="AO140" s="77">
        <f t="shared" si="48"/>
        <v>2055</v>
      </c>
      <c r="AP140" s="77">
        <f t="shared" si="48"/>
        <v>2056</v>
      </c>
    </row>
    <row r="141" spans="1:42" outlineLevel="3" x14ac:dyDescent="0.25">
      <c r="A141" s="158" t="s">
        <v>166</v>
      </c>
      <c r="B141" s="5" t="s">
        <v>143</v>
      </c>
      <c r="C141" s="5" t="s">
        <v>144</v>
      </c>
      <c r="D141" s="223" t="s">
        <v>275</v>
      </c>
      <c r="E141" s="223"/>
      <c r="F141" s="223"/>
      <c r="G141" s="223"/>
      <c r="H141" s="223" t="s">
        <v>146</v>
      </c>
      <c r="I141" s="223"/>
      <c r="J141" s="223"/>
      <c r="K141" s="223"/>
      <c r="L141" s="63">
        <f t="shared" ref="L141:AP141" si="49">L74</f>
        <v>1</v>
      </c>
      <c r="M141" s="63">
        <f t="shared" si="49"/>
        <v>0.95574882920768423</v>
      </c>
      <c r="N141" s="63">
        <f t="shared" si="49"/>
        <v>0.91345582453185914</v>
      </c>
      <c r="O141" s="63">
        <f t="shared" si="49"/>
        <v>0.87303433482926418</v>
      </c>
      <c r="P141" s="63">
        <f t="shared" si="49"/>
        <v>0.83440154337117856</v>
      </c>
      <c r="Q141" s="63">
        <f t="shared" si="49"/>
        <v>0.79747829816608862</v>
      </c>
      <c r="R141" s="63">
        <f t="shared" si="49"/>
        <v>0.76218894979077567</v>
      </c>
      <c r="S141" s="63">
        <f t="shared" si="49"/>
        <v>0.72846119639756823</v>
      </c>
      <c r="T141" s="63">
        <f t="shared" si="49"/>
        <v>0.69622593558020462</v>
      </c>
      <c r="U141" s="63">
        <f t="shared" si="49"/>
        <v>0.66541712279480525</v>
      </c>
      <c r="V141" s="63">
        <f t="shared" si="49"/>
        <v>0.63597163604588081</v>
      </c>
      <c r="W141" s="63">
        <f t="shared" si="49"/>
        <v>0.60782914656014608</v>
      </c>
      <c r="X141" s="63">
        <f t="shared" si="49"/>
        <v>0.58093199518316552</v>
      </c>
      <c r="Y141" s="63">
        <f t="shared" si="49"/>
        <v>0.55522507424559442</v>
      </c>
      <c r="Z141" s="63">
        <f t="shared" si="49"/>
        <v>0.53065571465697647</v>
      </c>
      <c r="AA141" s="63">
        <f t="shared" si="49"/>
        <v>0.50717357799577223</v>
      </c>
      <c r="AB141" s="63">
        <f t="shared" si="49"/>
        <v>0</v>
      </c>
      <c r="AC141" s="63">
        <f t="shared" si="49"/>
        <v>0</v>
      </c>
      <c r="AD141" s="63">
        <f t="shared" si="49"/>
        <v>0</v>
      </c>
      <c r="AE141" s="63">
        <f t="shared" si="49"/>
        <v>0</v>
      </c>
      <c r="AF141" s="63">
        <f t="shared" si="49"/>
        <v>0</v>
      </c>
      <c r="AG141" s="63">
        <f t="shared" si="49"/>
        <v>0</v>
      </c>
      <c r="AH141" s="63">
        <f t="shared" si="49"/>
        <v>0</v>
      </c>
      <c r="AI141" s="63">
        <f t="shared" si="49"/>
        <v>0</v>
      </c>
      <c r="AJ141" s="63">
        <f t="shared" si="49"/>
        <v>0</v>
      </c>
      <c r="AK141" s="63">
        <f t="shared" si="49"/>
        <v>0</v>
      </c>
      <c r="AL141" s="63">
        <f t="shared" si="49"/>
        <v>0</v>
      </c>
      <c r="AM141" s="63">
        <f t="shared" si="49"/>
        <v>0</v>
      </c>
      <c r="AN141" s="63">
        <f t="shared" si="49"/>
        <v>0</v>
      </c>
      <c r="AO141" s="63">
        <f t="shared" si="49"/>
        <v>0</v>
      </c>
      <c r="AP141" s="63">
        <f t="shared" si="49"/>
        <v>0</v>
      </c>
    </row>
    <row r="142" spans="1:42" ht="29.1" customHeight="1" outlineLevel="3" x14ac:dyDescent="0.25">
      <c r="A142" s="158" t="s">
        <v>168</v>
      </c>
      <c r="B142" s="5" t="s">
        <v>248</v>
      </c>
      <c r="C142" s="5" t="s">
        <v>144</v>
      </c>
      <c r="D142" s="226" t="s">
        <v>276</v>
      </c>
      <c r="E142" s="226"/>
      <c r="F142" s="226"/>
      <c r="G142" s="226"/>
      <c r="H142" s="223"/>
      <c r="I142" s="223"/>
      <c r="J142" s="223"/>
      <c r="K142" s="223"/>
      <c r="L142" s="20">
        <f>_xlfn.XLOOKUP($C$22,$D65:$G65,$D66:$G66)</f>
        <v>0.25</v>
      </c>
      <c r="M142" s="62">
        <f>IF(M139&lt;=$D$69,1,0)</f>
        <v>1</v>
      </c>
      <c r="N142" s="62">
        <f t="shared" ref="N142:AP142" si="50">IF(N139&lt;=$D$69,1,0)</f>
        <v>1</v>
      </c>
      <c r="O142" s="62">
        <f t="shared" si="50"/>
        <v>1</v>
      </c>
      <c r="P142" s="62">
        <f t="shared" si="50"/>
        <v>1</v>
      </c>
      <c r="Q142" s="62">
        <f t="shared" si="50"/>
        <v>1</v>
      </c>
      <c r="R142" s="62">
        <f t="shared" si="50"/>
        <v>1</v>
      </c>
      <c r="S142" s="62">
        <f t="shared" si="50"/>
        <v>1</v>
      </c>
      <c r="T142" s="62">
        <f t="shared" si="50"/>
        <v>1</v>
      </c>
      <c r="U142" s="62">
        <f t="shared" si="50"/>
        <v>1</v>
      </c>
      <c r="V142" s="62">
        <f t="shared" si="50"/>
        <v>1</v>
      </c>
      <c r="W142" s="62">
        <f t="shared" si="50"/>
        <v>1</v>
      </c>
      <c r="X142" s="62">
        <f t="shared" si="50"/>
        <v>1</v>
      </c>
      <c r="Y142" s="62">
        <f t="shared" si="50"/>
        <v>1</v>
      </c>
      <c r="Z142" s="62">
        <f t="shared" si="50"/>
        <v>1</v>
      </c>
      <c r="AA142" s="62">
        <f t="shared" si="50"/>
        <v>1</v>
      </c>
      <c r="AB142" s="62">
        <f t="shared" si="50"/>
        <v>0</v>
      </c>
      <c r="AC142" s="62">
        <f t="shared" si="50"/>
        <v>0</v>
      </c>
      <c r="AD142" s="62">
        <f t="shared" si="50"/>
        <v>0</v>
      </c>
      <c r="AE142" s="62">
        <f t="shared" si="50"/>
        <v>0</v>
      </c>
      <c r="AF142" s="62">
        <f t="shared" si="50"/>
        <v>0</v>
      </c>
      <c r="AG142" s="62">
        <f t="shared" si="50"/>
        <v>0</v>
      </c>
      <c r="AH142" s="62">
        <f t="shared" si="50"/>
        <v>0</v>
      </c>
      <c r="AI142" s="62">
        <f t="shared" si="50"/>
        <v>0</v>
      </c>
      <c r="AJ142" s="62">
        <f t="shared" si="50"/>
        <v>0</v>
      </c>
      <c r="AK142" s="62">
        <f t="shared" si="50"/>
        <v>0</v>
      </c>
      <c r="AL142" s="62">
        <f t="shared" si="50"/>
        <v>0</v>
      </c>
      <c r="AM142" s="62">
        <f t="shared" si="50"/>
        <v>0</v>
      </c>
      <c r="AN142" s="62">
        <f t="shared" si="50"/>
        <v>0</v>
      </c>
      <c r="AO142" s="62">
        <f t="shared" si="50"/>
        <v>0</v>
      </c>
      <c r="AP142" s="62">
        <f t="shared" si="50"/>
        <v>0</v>
      </c>
    </row>
    <row r="143" spans="1:42" ht="15.75" outlineLevel="2" thickBot="1" x14ac:dyDescent="0.3">
      <c r="A143" s="158" t="s">
        <v>277</v>
      </c>
      <c r="B143" s="70" t="s">
        <v>278</v>
      </c>
      <c r="C143" s="49" t="s">
        <v>35</v>
      </c>
      <c r="D143" s="257" t="s">
        <v>279</v>
      </c>
      <c r="E143" s="257"/>
      <c r="F143" s="257"/>
      <c r="G143" s="257"/>
      <c r="H143" s="224"/>
      <c r="I143" s="224"/>
      <c r="J143" s="224"/>
      <c r="K143" s="224"/>
      <c r="L143" s="98">
        <f>$D$136*L141*L142</f>
        <v>38130</v>
      </c>
      <c r="M143" s="98">
        <f t="shared" ref="M143:AP143" si="51">$D$136*M141*M142</f>
        <v>145770.811430756</v>
      </c>
      <c r="N143" s="98">
        <f t="shared" si="51"/>
        <v>139320.28235759915</v>
      </c>
      <c r="O143" s="98">
        <f t="shared" si="51"/>
        <v>133155.19674815936</v>
      </c>
      <c r="P143" s="98">
        <f t="shared" si="51"/>
        <v>127262.92339497215</v>
      </c>
      <c r="Q143" s="98">
        <f t="shared" si="51"/>
        <v>121631.39003629184</v>
      </c>
      <c r="R143" s="98">
        <f t="shared" si="51"/>
        <v>116249.0586220891</v>
      </c>
      <c r="S143" s="98">
        <f t="shared" si="51"/>
        <v>111104.90167455711</v>
      </c>
      <c r="T143" s="98">
        <f t="shared" si="51"/>
        <v>106188.37969469281</v>
      </c>
      <c r="U143" s="98">
        <f t="shared" si="51"/>
        <v>101489.4195686637</v>
      </c>
      <c r="V143" s="98">
        <f t="shared" si="51"/>
        <v>96998.393929717742</v>
      </c>
      <c r="W143" s="98">
        <f t="shared" si="51"/>
        <v>92706.101433353484</v>
      </c>
      <c r="X143" s="98">
        <f t="shared" si="51"/>
        <v>88603.747905336408</v>
      </c>
      <c r="Y143" s="98">
        <f t="shared" si="51"/>
        <v>84682.92832393806</v>
      </c>
      <c r="Z143" s="98">
        <f t="shared" si="51"/>
        <v>80935.60959948205</v>
      </c>
      <c r="AA143" s="98">
        <f t="shared" si="51"/>
        <v>77354.114115915174</v>
      </c>
      <c r="AB143" s="98">
        <f t="shared" si="51"/>
        <v>0</v>
      </c>
      <c r="AC143" s="98">
        <f t="shared" si="51"/>
        <v>0</v>
      </c>
      <c r="AD143" s="98">
        <f t="shared" si="51"/>
        <v>0</v>
      </c>
      <c r="AE143" s="98">
        <f t="shared" si="51"/>
        <v>0</v>
      </c>
      <c r="AF143" s="98">
        <f t="shared" si="51"/>
        <v>0</v>
      </c>
      <c r="AG143" s="98">
        <f t="shared" si="51"/>
        <v>0</v>
      </c>
      <c r="AH143" s="98">
        <f t="shared" si="51"/>
        <v>0</v>
      </c>
      <c r="AI143" s="98">
        <f t="shared" si="51"/>
        <v>0</v>
      </c>
      <c r="AJ143" s="98">
        <f t="shared" si="51"/>
        <v>0</v>
      </c>
      <c r="AK143" s="98">
        <f t="shared" si="51"/>
        <v>0</v>
      </c>
      <c r="AL143" s="98">
        <f t="shared" si="51"/>
        <v>0</v>
      </c>
      <c r="AM143" s="98">
        <f t="shared" si="51"/>
        <v>0</v>
      </c>
      <c r="AN143" s="98">
        <f t="shared" si="51"/>
        <v>0</v>
      </c>
      <c r="AO143" s="98">
        <f t="shared" si="51"/>
        <v>0</v>
      </c>
      <c r="AP143" s="98">
        <f t="shared" si="51"/>
        <v>0</v>
      </c>
    </row>
    <row r="144" spans="1:42" ht="15.75" outlineLevel="2" thickTop="1" x14ac:dyDescent="0.25">
      <c r="A144" s="74"/>
      <c r="B144" s="7"/>
      <c r="C144" s="7"/>
      <c r="D144" s="59"/>
      <c r="E144" s="59"/>
      <c r="F144" s="59"/>
      <c r="G144" s="59"/>
      <c r="H144" s="59"/>
      <c r="I144" s="59"/>
      <c r="J144" s="59"/>
      <c r="K144" s="59"/>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c r="AI144" s="117"/>
      <c r="AJ144" s="117"/>
      <c r="AK144" s="117"/>
      <c r="AL144" s="117"/>
      <c r="AM144" s="117"/>
      <c r="AN144" s="117"/>
      <c r="AO144" s="117"/>
      <c r="AP144" s="117"/>
    </row>
    <row r="145" spans="1:42" outlineLevel="2" x14ac:dyDescent="0.25">
      <c r="A145" s="74"/>
      <c r="B145" s="6" t="s">
        <v>280</v>
      </c>
      <c r="C145" s="6" t="s">
        <v>61</v>
      </c>
      <c r="D145" s="39" t="str">
        <f>$C$22</f>
        <v>Variant 3b</v>
      </c>
      <c r="E145" s="225" t="s">
        <v>32</v>
      </c>
      <c r="F145" s="225"/>
      <c r="G145" s="225"/>
      <c r="H145" s="225"/>
      <c r="I145" s="225"/>
      <c r="J145" s="225"/>
      <c r="K145" s="225"/>
      <c r="L145" s="225" t="s">
        <v>33</v>
      </c>
      <c r="M145" s="225"/>
      <c r="N145" s="225"/>
      <c r="O145" s="225"/>
      <c r="P145" s="225"/>
      <c r="Q145" s="225"/>
      <c r="R145" s="225"/>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row>
    <row r="146" spans="1:42" outlineLevel="2" x14ac:dyDescent="0.25">
      <c r="A146" s="74"/>
      <c r="B146" s="6" t="s">
        <v>200</v>
      </c>
      <c r="C146" s="6" t="s">
        <v>35</v>
      </c>
      <c r="D146" s="65">
        <f>SUM(L143:AP143)</f>
        <v>1661583.2588355241</v>
      </c>
      <c r="E146" s="251" t="s">
        <v>281</v>
      </c>
      <c r="F146" s="252"/>
      <c r="G146" s="252"/>
      <c r="H146" s="252"/>
      <c r="I146" s="252"/>
      <c r="J146" s="252"/>
      <c r="K146" s="253"/>
      <c r="L146" s="226"/>
      <c r="M146" s="226"/>
      <c r="N146" s="226"/>
      <c r="O146" s="226"/>
      <c r="P146" s="226"/>
      <c r="Q146" s="226"/>
      <c r="R146" s="226"/>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row>
    <row r="147" spans="1:42" outlineLevel="1" x14ac:dyDescent="0.25">
      <c r="B147" s="8"/>
    </row>
    <row r="148" spans="1:42" s="73" customFormat="1" ht="18" thickBot="1" x14ac:dyDescent="0.35">
      <c r="A148" s="73" t="s">
        <v>222</v>
      </c>
    </row>
    <row r="149" spans="1:42" ht="15.75" outlineLevel="1" thickTop="1" x14ac:dyDescent="0.25">
      <c r="D149" s="23"/>
      <c r="E149" s="23"/>
      <c r="F149" s="23"/>
      <c r="G149" s="23"/>
      <c r="H149" s="23"/>
      <c r="I149" s="23"/>
      <c r="J149" s="23"/>
      <c r="K149" s="24"/>
      <c r="L149" s="24"/>
      <c r="M149" s="24"/>
    </row>
    <row r="150" spans="1:42" s="9" customFormat="1" ht="15.75" outlineLevel="1" thickBot="1" x14ac:dyDescent="0.3">
      <c r="A150" s="9" t="s">
        <v>223</v>
      </c>
    </row>
    <row r="151" spans="1:42" outlineLevel="1" x14ac:dyDescent="0.25">
      <c r="D151" s="23"/>
      <c r="E151" s="23"/>
      <c r="F151" s="23"/>
      <c r="G151" s="23"/>
      <c r="H151" s="23"/>
      <c r="I151" s="23"/>
      <c r="J151" s="23"/>
      <c r="K151" s="24"/>
      <c r="L151" s="24"/>
      <c r="M151" s="24"/>
    </row>
    <row r="152" spans="1:42" outlineLevel="2" x14ac:dyDescent="0.25">
      <c r="A152" s="13"/>
      <c r="B152" s="7"/>
      <c r="C152" s="6" t="s">
        <v>61</v>
      </c>
      <c r="D152" s="39" t="str">
        <f>"Variant"&amp;" "&amp;$A$17</f>
        <v>Variant 3a</v>
      </c>
      <c r="E152" s="39" t="str">
        <f>"Variant"&amp;" "&amp;$A$18</f>
        <v>Variant 3b</v>
      </c>
      <c r="F152" s="39" t="str">
        <f>"Variant"&amp;" "&amp;$A$19</f>
        <v>Variant 3c</v>
      </c>
      <c r="G152" s="39" t="str">
        <f>"Variant"&amp;" "&amp;$A$20</f>
        <v>Variant 3d</v>
      </c>
      <c r="H152" s="225" t="s">
        <v>32</v>
      </c>
      <c r="I152" s="225"/>
      <c r="J152" s="225"/>
      <c r="K152" s="225"/>
      <c r="L152" s="225"/>
      <c r="M152" s="225" t="s">
        <v>33</v>
      </c>
      <c r="N152" s="225"/>
      <c r="O152" s="225"/>
      <c r="P152" s="225"/>
      <c r="Q152" s="225"/>
      <c r="R152" s="225"/>
    </row>
    <row r="153" spans="1:42" ht="42.75" customHeight="1" outlineLevel="2" x14ac:dyDescent="0.25">
      <c r="A153" s="13"/>
      <c r="B153" s="2" t="s">
        <v>52</v>
      </c>
      <c r="C153" s="5" t="s">
        <v>35</v>
      </c>
      <c r="D153" s="26">
        <f>D165*SUMPRODUCT($L$74:$AP$74,'Distributor assumptions'!$K15:$AO15,_xlfn.XLOOKUP(D$162,'Cons group &amp; variant assumption'!$A75:$A83,'Cons group &amp; variant assumption'!$O75:$AS83),_xlfn.XLOOKUP(D$162,'Cons group &amp; variant assumption'!$A106:$A114,'Cons group &amp; variant assumption'!$O106:$AS114))</f>
        <v>1943716.5705155686</v>
      </c>
      <c r="E153" s="26">
        <f>E165*SUMPRODUCT($L$74:$AP$74,'Distributor assumptions'!$K15:$AO15,_xlfn.XLOOKUP(E162,'Cons group &amp; variant assumption'!$A75:$A83,'Cons group &amp; variant assumption'!$O75:$AS83),_xlfn.XLOOKUP(E162,'Cons group &amp; variant assumption'!$A106:$A114,'Cons group &amp; variant assumption'!$O106:$AS114))</f>
        <v>4068368.9692542455</v>
      </c>
      <c r="F153" s="26">
        <f>F165*SUMPRODUCT($L$74:$AP$74,'Distributor assumptions'!$K15:$AO15,_xlfn.XLOOKUP(F162,'Cons group &amp; variant assumption'!$A75:$A83,'Cons group &amp; variant assumption'!$O75:$AS83),_xlfn.XLOOKUP(F162,'Cons group &amp; variant assumption'!$A106:$A114,'Cons group &amp; variant assumption'!$O106:$AS114))</f>
        <v>1885405.0734001016</v>
      </c>
      <c r="G153" s="26">
        <f>G165*SUMPRODUCT($L$74:$AP$74,'Distributor assumptions'!$K15:$AO15,_xlfn.XLOOKUP(G162,'Cons group &amp; variant assumption'!$A75:$A83,'Cons group &amp; variant assumption'!$O75:$AS83),_xlfn.XLOOKUP(G162,'Cons group &amp; variant assumption'!$A106:$A114,'Cons group &amp; variant assumption'!$O106:$AS114))</f>
        <v>1943716.5705155686</v>
      </c>
      <c r="H153" s="226" t="s">
        <v>154</v>
      </c>
      <c r="I153" s="226"/>
      <c r="J153" s="226"/>
      <c r="K153" s="226"/>
      <c r="L153" s="226"/>
      <c r="M153" s="236" t="s">
        <v>282</v>
      </c>
      <c r="N153" s="237"/>
      <c r="O153" s="237"/>
      <c r="P153" s="237"/>
      <c r="Q153" s="237"/>
      <c r="R153" s="238"/>
    </row>
    <row r="154" spans="1:42" ht="43.35" customHeight="1" outlineLevel="2" x14ac:dyDescent="0.25">
      <c r="A154" s="156" t="s">
        <v>42</v>
      </c>
      <c r="B154" s="2" t="s">
        <v>156</v>
      </c>
      <c r="C154" s="14" t="s">
        <v>35</v>
      </c>
      <c r="D154" s="26">
        <f>D166*SUMPRODUCT($L$74:$AP$74,'Distributor assumptions'!$K16:$AO16,_xlfn.XLOOKUP(D$162,'Cons group &amp; variant assumption'!$A88:$A96,'Cons group &amp; variant assumption'!$O88:$AS96),_xlfn.XLOOKUP(D$162,'Cons group &amp; variant assumption'!$A120:$A128,'Cons group &amp; variant assumption'!$O120:$AS128))</f>
        <v>1037618.0915839006</v>
      </c>
      <c r="E154" s="26">
        <f>E166*SUMPRODUCT($L$74:$AP$74,'Distributor assumptions'!$K16:$AO16,_xlfn.XLOOKUP(E$162,'Cons group &amp; variant assumption'!$A88:$A96,'Cons group &amp; variant assumption'!$O88:$AS96),_xlfn.XLOOKUP(E$162,'Cons group &amp; variant assumption'!$A120:$A128,'Cons group &amp; variant assumption'!$O120:$AS128))+'3b. ITC calcs'!D29</f>
        <v>2706520.5528028402</v>
      </c>
      <c r="F154" s="26">
        <f>F166*SUMPRODUCT($L$74:$AP$74,'Distributor assumptions'!$K16:$AO16,_xlfn.XLOOKUP(F$162,'Cons group &amp; variant assumption'!$A88:$A96,'Cons group &amp; variant assumption'!$O88:$AS96),_xlfn.XLOOKUP(F$162,'Cons group &amp; variant assumption'!$A120:$A128,'Cons group &amp; variant assumption'!$O120:$AS128))</f>
        <v>1037618.0915839006</v>
      </c>
      <c r="G154" s="26">
        <f>G166*SUMPRODUCT($L$74:$AP$74,'Distributor assumptions'!$K16:$AO16,_xlfn.XLOOKUP(G$162,'Cons group &amp; variant assumption'!$A88:$A96,'Cons group &amp; variant assumption'!$O88:$AS96),_xlfn.XLOOKUP(G$162,'Cons group &amp; variant assumption'!$A120:$A128,'Cons group &amp; variant assumption'!$O120:$AS128))</f>
        <v>1037618.0915839006</v>
      </c>
      <c r="H154" s="226" t="s">
        <v>157</v>
      </c>
      <c r="I154" s="226"/>
      <c r="J154" s="226"/>
      <c r="K154" s="226"/>
      <c r="L154" s="226"/>
      <c r="M154" s="236" t="s">
        <v>283</v>
      </c>
      <c r="N154" s="237"/>
      <c r="O154" s="237"/>
      <c r="P154" s="237"/>
      <c r="Q154" s="237"/>
      <c r="R154" s="238"/>
    </row>
    <row r="155" spans="1:42" ht="15" customHeight="1" outlineLevel="2" thickBot="1" x14ac:dyDescent="0.3">
      <c r="A155" s="156" t="s">
        <v>46</v>
      </c>
      <c r="B155" s="17" t="s">
        <v>159</v>
      </c>
      <c r="C155" s="16" t="s">
        <v>35</v>
      </c>
      <c r="D155" s="98">
        <f>SUM(D153:D154)</f>
        <v>2981334.6620994695</v>
      </c>
      <c r="E155" s="98">
        <f t="shared" ref="E155:G155" si="52">SUM(E153:E154)</f>
        <v>6774889.5220570862</v>
      </c>
      <c r="F155" s="98">
        <f t="shared" si="52"/>
        <v>2923023.1649840022</v>
      </c>
      <c r="G155" s="98">
        <f t="shared" si="52"/>
        <v>2981334.6620994695</v>
      </c>
      <c r="H155" s="226" t="s">
        <v>284</v>
      </c>
      <c r="I155" s="226"/>
      <c r="J155" s="226"/>
      <c r="K155" s="226"/>
      <c r="L155" s="226"/>
      <c r="M155" s="236"/>
      <c r="N155" s="237"/>
      <c r="O155" s="237"/>
      <c r="P155" s="237"/>
      <c r="Q155" s="237"/>
      <c r="R155" s="238"/>
    </row>
    <row r="156" spans="1:42" ht="15" customHeight="1" outlineLevel="2" thickTop="1" x14ac:dyDescent="0.25">
      <c r="A156" s="4"/>
    </row>
    <row r="157" spans="1:42" s="9" customFormat="1" ht="15.75" outlineLevel="1" thickBot="1" x14ac:dyDescent="0.3">
      <c r="A157" s="9" t="s">
        <v>203</v>
      </c>
    </row>
    <row r="158" spans="1:42" outlineLevel="1" x14ac:dyDescent="0.25">
      <c r="D158" s="23"/>
      <c r="E158" s="23"/>
      <c r="F158" s="23"/>
      <c r="G158" s="23"/>
      <c r="H158" s="23"/>
      <c r="I158" s="23"/>
      <c r="J158" s="23"/>
      <c r="K158" s="24"/>
      <c r="L158" s="24"/>
      <c r="M158" s="24"/>
    </row>
    <row r="159" spans="1:42" outlineLevel="1" x14ac:dyDescent="0.25">
      <c r="A159" s="43" t="s">
        <v>118</v>
      </c>
      <c r="D159" s="23"/>
      <c r="E159" s="23"/>
      <c r="F159" s="23"/>
      <c r="G159" s="23"/>
      <c r="H159" s="23"/>
      <c r="I159" s="23"/>
      <c r="J159" s="23"/>
      <c r="K159" s="24"/>
      <c r="L159" s="24"/>
      <c r="M159" s="24"/>
    </row>
    <row r="160" spans="1:42" outlineLevel="1" x14ac:dyDescent="0.25">
      <c r="D160" s="23"/>
      <c r="E160" s="23"/>
      <c r="F160" s="23"/>
      <c r="G160" s="23"/>
      <c r="H160" s="23"/>
      <c r="I160" s="23"/>
      <c r="J160" s="23"/>
      <c r="K160" s="24"/>
      <c r="L160" s="24"/>
      <c r="M160" s="24"/>
    </row>
    <row r="161" spans="1:18" outlineLevel="1" x14ac:dyDescent="0.25">
      <c r="B161" s="6" t="s">
        <v>119</v>
      </c>
      <c r="C161" s="6" t="s">
        <v>61</v>
      </c>
      <c r="D161" s="39" t="str">
        <f>"Variant"&amp;" "&amp;$A$17</f>
        <v>Variant 3a</v>
      </c>
      <c r="E161" s="39" t="str">
        <f>"Variant"&amp;" "&amp;$A$18</f>
        <v>Variant 3b</v>
      </c>
      <c r="F161" s="39" t="str">
        <f>"Variant"&amp;" "&amp;$A$19</f>
        <v>Variant 3c</v>
      </c>
      <c r="G161" s="39" t="str">
        <f>"Variant"&amp;" "&amp;$A$20</f>
        <v>Variant 3d</v>
      </c>
      <c r="H161" s="225" t="s">
        <v>32</v>
      </c>
      <c r="I161" s="225"/>
      <c r="J161" s="225"/>
      <c r="K161" s="225"/>
      <c r="L161" s="225"/>
      <c r="M161" s="225" t="s">
        <v>33</v>
      </c>
      <c r="N161" s="225"/>
      <c r="O161" s="225"/>
      <c r="P161" s="225"/>
      <c r="Q161" s="225"/>
      <c r="R161" s="225"/>
    </row>
    <row r="162" spans="1:18" ht="28.5" customHeight="1" outlineLevel="1" x14ac:dyDescent="0.25">
      <c r="B162" s="5" t="s">
        <v>119</v>
      </c>
      <c r="C162" s="5" t="s">
        <v>120</v>
      </c>
      <c r="D162" s="125" t="s">
        <v>285</v>
      </c>
      <c r="E162" s="125" t="s">
        <v>286</v>
      </c>
      <c r="F162" s="125" t="s">
        <v>287</v>
      </c>
      <c r="G162" s="125" t="s">
        <v>288</v>
      </c>
      <c r="H162" s="226" t="s">
        <v>471</v>
      </c>
      <c r="I162" s="226"/>
      <c r="J162" s="226"/>
      <c r="K162" s="226"/>
      <c r="L162" s="226"/>
      <c r="M162" s="236"/>
      <c r="N162" s="237"/>
      <c r="O162" s="237"/>
      <c r="P162" s="237"/>
      <c r="Q162" s="237"/>
      <c r="R162" s="238"/>
    </row>
    <row r="163" spans="1:18" ht="14.45" customHeight="1" outlineLevel="1" x14ac:dyDescent="0.25">
      <c r="D163" s="36"/>
      <c r="E163" s="36"/>
      <c r="F163" s="36"/>
      <c r="G163" s="36"/>
      <c r="H163" s="36"/>
    </row>
    <row r="164" spans="1:18" ht="14.45" customHeight="1" outlineLevel="1" x14ac:dyDescent="0.25">
      <c r="B164" s="6" t="s">
        <v>124</v>
      </c>
      <c r="C164" s="6" t="s">
        <v>61</v>
      </c>
      <c r="D164" s="39" t="str">
        <f>"Variant"&amp;" "&amp;$A$17</f>
        <v>Variant 3a</v>
      </c>
      <c r="E164" s="39" t="str">
        <f>"Variant"&amp;" "&amp;$A$18</f>
        <v>Variant 3b</v>
      </c>
      <c r="F164" s="39" t="str">
        <f>"Variant"&amp;" "&amp;$A$19</f>
        <v>Variant 3c</v>
      </c>
      <c r="G164" s="39" t="str">
        <f>"Variant"&amp;" "&amp;$A$20</f>
        <v>Variant 3d</v>
      </c>
      <c r="H164" s="225" t="s">
        <v>32</v>
      </c>
      <c r="I164" s="225"/>
      <c r="J164" s="225"/>
      <c r="K164" s="225"/>
      <c r="L164" s="225"/>
      <c r="M164" s="225" t="s">
        <v>33</v>
      </c>
      <c r="N164" s="225"/>
      <c r="O164" s="225"/>
      <c r="P164" s="225"/>
      <c r="Q164" s="225"/>
      <c r="R164" s="225"/>
    </row>
    <row r="165" spans="1:18" ht="29.1" customHeight="1" outlineLevel="1" x14ac:dyDescent="0.25">
      <c r="B165" s="5" t="s">
        <v>125</v>
      </c>
      <c r="C165" s="5" t="s">
        <v>35</v>
      </c>
      <c r="D165" s="106">
        <f>_xlfn.XLOOKUP(D$162,'Cons group &amp; variant assumption'!C$6:L$6,'Cons group &amp; variant assumption'!C7:L7)</f>
        <v>130200</v>
      </c>
      <c r="E165" s="106">
        <f>_xlfn.XLOOKUP(E$162,'Cons group &amp; variant assumption'!D$6:M$6,'Cons group &amp; variant assumption'!D7:M7)</f>
        <v>272520</v>
      </c>
      <c r="F165" s="106">
        <f>_xlfn.XLOOKUP(F$162,'Cons group &amp; variant assumption'!E$6:N$6,'Cons group &amp; variant assumption'!E7:N7)</f>
        <v>126294</v>
      </c>
      <c r="G165" s="106">
        <f>_xlfn.XLOOKUP(G$162,'Cons group &amp; variant assumption'!F$6:O$6,'Cons group &amp; variant assumption'!F7:O7)</f>
        <v>130200</v>
      </c>
      <c r="H165" s="226" t="s">
        <v>161</v>
      </c>
      <c r="I165" s="226"/>
      <c r="J165" s="226"/>
      <c r="K165" s="226"/>
      <c r="L165" s="226"/>
      <c r="M165" s="236" t="s">
        <v>289</v>
      </c>
      <c r="N165" s="237"/>
      <c r="O165" s="237"/>
      <c r="P165" s="237"/>
      <c r="Q165" s="237"/>
      <c r="R165" s="238"/>
    </row>
    <row r="166" spans="1:18" ht="29.1" customHeight="1" outlineLevel="1" x14ac:dyDescent="0.25">
      <c r="B166" s="5" t="s">
        <v>127</v>
      </c>
      <c r="C166" s="5" t="s">
        <v>35</v>
      </c>
      <c r="D166" s="106">
        <f>_xlfn.XLOOKUP(D$162,'Cons group &amp; variant assumption'!C$6:L$6,'Cons group &amp; variant assumption'!C8:L8)</f>
        <v>80000</v>
      </c>
      <c r="E166" s="106">
        <f>_xlfn.XLOOKUP(E$162,'Cons group &amp; variant assumption'!D$6:M$6,'Cons group &amp; variant assumption'!D8:M8)</f>
        <v>80000</v>
      </c>
      <c r="F166" s="106">
        <f>_xlfn.XLOOKUP(F$162,'Cons group &amp; variant assumption'!E$6:N$6,'Cons group &amp; variant assumption'!E8:N8)</f>
        <v>80000</v>
      </c>
      <c r="G166" s="106">
        <f>_xlfn.XLOOKUP(G$162,'Cons group &amp; variant assumption'!F$6:O$6,'Cons group &amp; variant assumption'!F8:O8)</f>
        <v>80000</v>
      </c>
      <c r="H166" s="226" t="s">
        <v>128</v>
      </c>
      <c r="I166" s="226"/>
      <c r="J166" s="226"/>
      <c r="K166" s="226"/>
      <c r="L166" s="226"/>
      <c r="M166" s="236" t="s">
        <v>290</v>
      </c>
      <c r="N166" s="237"/>
      <c r="O166" s="237"/>
      <c r="P166" s="237"/>
      <c r="Q166" s="237"/>
      <c r="R166" s="238"/>
    </row>
    <row r="167" spans="1:18" ht="14.45" customHeight="1" outlineLevel="1" x14ac:dyDescent="0.25">
      <c r="D167" s="36"/>
      <c r="E167" s="36"/>
      <c r="F167" s="36"/>
      <c r="G167" s="36"/>
      <c r="H167" s="36"/>
      <c r="I167" s="36"/>
      <c r="J167" s="36"/>
    </row>
    <row r="168" spans="1:18" outlineLevel="1" x14ac:dyDescent="0.25">
      <c r="A168" s="43" t="s">
        <v>228</v>
      </c>
      <c r="D168" s="23"/>
      <c r="E168" s="23"/>
      <c r="F168" s="23"/>
      <c r="G168" s="23"/>
      <c r="H168" s="23"/>
      <c r="I168" s="23"/>
      <c r="J168" s="23"/>
      <c r="K168" s="24"/>
      <c r="L168" s="24"/>
      <c r="M168" s="24"/>
    </row>
    <row r="169" spans="1:18" ht="14.45" customHeight="1" outlineLevel="1" x14ac:dyDescent="0.25">
      <c r="D169" s="36"/>
      <c r="E169" s="36"/>
      <c r="F169" s="36"/>
      <c r="G169" s="36"/>
      <c r="H169" s="36"/>
      <c r="I169" s="36"/>
      <c r="J169" s="36"/>
    </row>
    <row r="170" spans="1:18" ht="14.45" customHeight="1" outlineLevel="1" x14ac:dyDescent="0.25">
      <c r="B170" s="256" t="s">
        <v>229</v>
      </c>
      <c r="C170" s="256"/>
      <c r="D170" s="256"/>
      <c r="E170" s="256"/>
      <c r="F170" s="256"/>
      <c r="G170" s="256"/>
      <c r="H170" s="256"/>
      <c r="I170" s="256"/>
      <c r="J170" s="256"/>
      <c r="K170" s="256"/>
      <c r="L170" s="256"/>
      <c r="M170" s="256"/>
      <c r="N170" s="256"/>
      <c r="O170" s="256"/>
      <c r="P170" s="256"/>
      <c r="Q170" s="256"/>
      <c r="R170" s="256"/>
    </row>
    <row r="171" spans="1:18" ht="14.45" customHeight="1" outlineLevel="1" x14ac:dyDescent="0.25">
      <c r="B171" s="59"/>
      <c r="C171" s="59"/>
      <c r="D171" s="59"/>
      <c r="E171" s="59"/>
      <c r="F171" s="59"/>
      <c r="G171" s="59"/>
      <c r="H171" s="59"/>
      <c r="I171" s="59"/>
      <c r="J171" s="59"/>
      <c r="K171" s="59"/>
      <c r="L171" s="59"/>
    </row>
    <row r="172" spans="1:18" ht="14.45" customHeight="1" outlineLevel="1" x14ac:dyDescent="0.25">
      <c r="B172" s="7" t="s">
        <v>28</v>
      </c>
      <c r="C172" s="152" t="str">
        <f>Sc3_variant</f>
        <v>Variant 3b</v>
      </c>
      <c r="E172" s="120" t="s">
        <v>274</v>
      </c>
      <c r="H172" s="150" t="str">
        <f>_xlfn.XLOOKUP(Sc3_variant,$D$161:$G$161,$D$162:$G$162)</f>
        <v>Variant 3b customer</v>
      </c>
    </row>
    <row r="173" spans="1:18" ht="14.45" customHeight="1" outlineLevel="1" x14ac:dyDescent="0.25">
      <c r="H173" s="8"/>
    </row>
    <row r="174" spans="1:18" outlineLevel="1" x14ac:dyDescent="0.25">
      <c r="B174" s="8" t="str">
        <f>"IDR calculation"&amp;" for "&amp;Sc3_variant</f>
        <v>IDR calculation for Variant 3b</v>
      </c>
      <c r="H174" s="8"/>
    </row>
    <row r="175" spans="1:18" outlineLevel="2" x14ac:dyDescent="0.25">
      <c r="A175" s="4"/>
    </row>
    <row r="176" spans="1:18" outlineLevel="2" x14ac:dyDescent="0.25">
      <c r="A176" s="4"/>
      <c r="B176" s="6" t="s">
        <v>125</v>
      </c>
      <c r="C176" s="6" t="s">
        <v>61</v>
      </c>
      <c r="D176" s="39" t="str">
        <f>$C$195</f>
        <v>Variant 3b</v>
      </c>
      <c r="E176" s="225" t="s">
        <v>32</v>
      </c>
      <c r="F176" s="225"/>
      <c r="G176" s="225"/>
      <c r="H176" s="225"/>
      <c r="I176" s="225"/>
      <c r="J176" s="225"/>
      <c r="K176" s="225"/>
      <c r="L176" s="225" t="s">
        <v>33</v>
      </c>
      <c r="M176" s="225"/>
      <c r="N176" s="225"/>
      <c r="O176" s="225"/>
      <c r="P176" s="225"/>
      <c r="Q176" s="225"/>
      <c r="R176" s="225"/>
    </row>
    <row r="177" spans="1:42" ht="29.1" customHeight="1" outlineLevel="2" x14ac:dyDescent="0.25">
      <c r="A177" s="156" t="s">
        <v>162</v>
      </c>
      <c r="B177" s="5" t="s">
        <v>125</v>
      </c>
      <c r="C177" s="5" t="s">
        <v>35</v>
      </c>
      <c r="D177" s="26">
        <f>_xlfn.XLOOKUP($C$195,$D$164:$G$164,$D$165:$G$165)</f>
        <v>272520</v>
      </c>
      <c r="E177" s="226" t="s">
        <v>161</v>
      </c>
      <c r="F177" s="226"/>
      <c r="G177" s="226"/>
      <c r="H177" s="226"/>
      <c r="I177" s="226"/>
      <c r="J177" s="226"/>
      <c r="K177" s="226"/>
      <c r="L177" s="226" t="s">
        <v>289</v>
      </c>
      <c r="M177" s="226"/>
      <c r="N177" s="226"/>
      <c r="O177" s="226"/>
      <c r="P177" s="226"/>
      <c r="Q177" s="226"/>
      <c r="R177" s="226"/>
    </row>
    <row r="178" spans="1:42" outlineLevel="2" x14ac:dyDescent="0.25">
      <c r="A178" s="157"/>
    </row>
    <row r="179" spans="1:42" outlineLevel="2" x14ac:dyDescent="0.25">
      <c r="A179" s="157"/>
      <c r="L179" s="247" t="s">
        <v>139</v>
      </c>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8"/>
      <c r="AL179" s="248"/>
      <c r="AM179" s="248"/>
      <c r="AN179" s="248"/>
      <c r="AO179" s="248"/>
      <c r="AP179" s="249"/>
    </row>
    <row r="180" spans="1:42" outlineLevel="2" x14ac:dyDescent="0.25">
      <c r="A180" s="157"/>
      <c r="B180" s="6" t="s">
        <v>165</v>
      </c>
      <c r="C180" s="6" t="s">
        <v>61</v>
      </c>
      <c r="D180" s="240" t="s">
        <v>32</v>
      </c>
      <c r="E180" s="241"/>
      <c r="F180" s="241"/>
      <c r="G180" s="242"/>
      <c r="H180" s="240" t="s">
        <v>33</v>
      </c>
      <c r="I180" s="241"/>
      <c r="J180" s="241"/>
      <c r="K180" s="242"/>
      <c r="L180" s="6">
        <v>0</v>
      </c>
      <c r="M180" s="6">
        <v>1</v>
      </c>
      <c r="N180" s="6">
        <v>2</v>
      </c>
      <c r="O180" s="6">
        <v>3</v>
      </c>
      <c r="P180" s="6">
        <v>4</v>
      </c>
      <c r="Q180" s="6">
        <v>5</v>
      </c>
      <c r="R180" s="6">
        <v>6</v>
      </c>
      <c r="S180" s="6">
        <v>7</v>
      </c>
      <c r="T180" s="6">
        <v>8</v>
      </c>
      <c r="U180" s="6">
        <v>9</v>
      </c>
      <c r="V180" s="6">
        <v>10</v>
      </c>
      <c r="W180" s="6">
        <v>11</v>
      </c>
      <c r="X180" s="6">
        <v>12</v>
      </c>
      <c r="Y180" s="6">
        <v>13</v>
      </c>
      <c r="Z180" s="6">
        <v>14</v>
      </c>
      <c r="AA180" s="6">
        <v>15</v>
      </c>
      <c r="AB180" s="6">
        <v>16</v>
      </c>
      <c r="AC180" s="6">
        <v>17</v>
      </c>
      <c r="AD180" s="6">
        <v>18</v>
      </c>
      <c r="AE180" s="6">
        <v>19</v>
      </c>
      <c r="AF180" s="6">
        <v>20</v>
      </c>
      <c r="AG180" s="6">
        <v>21</v>
      </c>
      <c r="AH180" s="6">
        <v>22</v>
      </c>
      <c r="AI180" s="6">
        <v>23</v>
      </c>
      <c r="AJ180" s="6">
        <v>24</v>
      </c>
      <c r="AK180" s="6">
        <v>25</v>
      </c>
      <c r="AL180" s="6">
        <v>26</v>
      </c>
      <c r="AM180" s="6">
        <v>27</v>
      </c>
      <c r="AN180" s="6">
        <v>28</v>
      </c>
      <c r="AO180" s="6">
        <v>29</v>
      </c>
      <c r="AP180" s="6">
        <v>30</v>
      </c>
    </row>
    <row r="181" spans="1:42" outlineLevel="2" x14ac:dyDescent="0.25">
      <c r="A181" s="157"/>
      <c r="B181" s="5" t="s">
        <v>140</v>
      </c>
      <c r="C181" s="5" t="s">
        <v>141</v>
      </c>
      <c r="D181" s="223" t="s">
        <v>193</v>
      </c>
      <c r="E181" s="223"/>
      <c r="F181" s="223"/>
      <c r="G181" s="223"/>
      <c r="H181" s="223"/>
      <c r="I181" s="223"/>
      <c r="J181" s="223"/>
      <c r="K181" s="223"/>
      <c r="L181" s="77">
        <f>L$73</f>
        <v>2026</v>
      </c>
      <c r="M181" s="77">
        <f t="shared" ref="M181:AP181" si="53">M$73</f>
        <v>2027</v>
      </c>
      <c r="N181" s="77">
        <f t="shared" si="53"/>
        <v>2028</v>
      </c>
      <c r="O181" s="77">
        <f t="shared" si="53"/>
        <v>2029</v>
      </c>
      <c r="P181" s="77">
        <f t="shared" si="53"/>
        <v>2030</v>
      </c>
      <c r="Q181" s="77">
        <f t="shared" si="53"/>
        <v>2031</v>
      </c>
      <c r="R181" s="77">
        <f t="shared" si="53"/>
        <v>2032</v>
      </c>
      <c r="S181" s="77">
        <f t="shared" si="53"/>
        <v>2033</v>
      </c>
      <c r="T181" s="77">
        <f t="shared" si="53"/>
        <v>2034</v>
      </c>
      <c r="U181" s="77">
        <f t="shared" si="53"/>
        <v>2035</v>
      </c>
      <c r="V181" s="77">
        <f t="shared" si="53"/>
        <v>2036</v>
      </c>
      <c r="W181" s="77">
        <f t="shared" si="53"/>
        <v>2037</v>
      </c>
      <c r="X181" s="77">
        <f t="shared" si="53"/>
        <v>2038</v>
      </c>
      <c r="Y181" s="77">
        <f t="shared" si="53"/>
        <v>2039</v>
      </c>
      <c r="Z181" s="77">
        <f t="shared" si="53"/>
        <v>2040</v>
      </c>
      <c r="AA181" s="77">
        <f t="shared" si="53"/>
        <v>2041</v>
      </c>
      <c r="AB181" s="77">
        <f t="shared" si="53"/>
        <v>2042</v>
      </c>
      <c r="AC181" s="77">
        <f t="shared" si="53"/>
        <v>2043</v>
      </c>
      <c r="AD181" s="77">
        <f t="shared" si="53"/>
        <v>2044</v>
      </c>
      <c r="AE181" s="77">
        <f t="shared" si="53"/>
        <v>2045</v>
      </c>
      <c r="AF181" s="77">
        <f t="shared" si="53"/>
        <v>2046</v>
      </c>
      <c r="AG181" s="77">
        <f t="shared" si="53"/>
        <v>2047</v>
      </c>
      <c r="AH181" s="77">
        <f t="shared" si="53"/>
        <v>2048</v>
      </c>
      <c r="AI181" s="77">
        <f t="shared" si="53"/>
        <v>2049</v>
      </c>
      <c r="AJ181" s="77">
        <f t="shared" si="53"/>
        <v>2050</v>
      </c>
      <c r="AK181" s="77">
        <f t="shared" si="53"/>
        <v>2051</v>
      </c>
      <c r="AL181" s="77">
        <f t="shared" si="53"/>
        <v>2052</v>
      </c>
      <c r="AM181" s="77">
        <f t="shared" si="53"/>
        <v>2053</v>
      </c>
      <c r="AN181" s="77">
        <f t="shared" si="53"/>
        <v>2054</v>
      </c>
      <c r="AO181" s="77">
        <f t="shared" si="53"/>
        <v>2055</v>
      </c>
      <c r="AP181" s="77">
        <f t="shared" si="53"/>
        <v>2056</v>
      </c>
    </row>
    <row r="182" spans="1:42" ht="14.45" customHeight="1" outlineLevel="2" x14ac:dyDescent="0.25">
      <c r="A182" s="156" t="s">
        <v>166</v>
      </c>
      <c r="B182" s="5" t="s">
        <v>143</v>
      </c>
      <c r="C182" s="5" t="s">
        <v>144</v>
      </c>
      <c r="D182" s="223" t="s">
        <v>167</v>
      </c>
      <c r="E182" s="223"/>
      <c r="F182" s="223"/>
      <c r="G182" s="223"/>
      <c r="H182" s="223" t="s">
        <v>458</v>
      </c>
      <c r="I182" s="223"/>
      <c r="J182" s="223"/>
      <c r="K182" s="223"/>
      <c r="L182" s="63">
        <f>L$74</f>
        <v>1</v>
      </c>
      <c r="M182" s="63">
        <f t="shared" ref="M182:AP182" si="54">M$74</f>
        <v>0.95574882920768423</v>
      </c>
      <c r="N182" s="63">
        <f t="shared" si="54"/>
        <v>0.91345582453185914</v>
      </c>
      <c r="O182" s="63">
        <f t="shared" si="54"/>
        <v>0.87303433482926418</v>
      </c>
      <c r="P182" s="63">
        <f t="shared" si="54"/>
        <v>0.83440154337117856</v>
      </c>
      <c r="Q182" s="63">
        <f t="shared" si="54"/>
        <v>0.79747829816608862</v>
      </c>
      <c r="R182" s="63">
        <f t="shared" si="54"/>
        <v>0.76218894979077567</v>
      </c>
      <c r="S182" s="63">
        <f t="shared" si="54"/>
        <v>0.72846119639756823</v>
      </c>
      <c r="T182" s="63">
        <f t="shared" si="54"/>
        <v>0.69622593558020462</v>
      </c>
      <c r="U182" s="63">
        <f t="shared" si="54"/>
        <v>0.66541712279480525</v>
      </c>
      <c r="V182" s="63">
        <f t="shared" si="54"/>
        <v>0.63597163604588081</v>
      </c>
      <c r="W182" s="63">
        <f t="shared" si="54"/>
        <v>0.60782914656014608</v>
      </c>
      <c r="X182" s="63">
        <f t="shared" si="54"/>
        <v>0.58093199518316552</v>
      </c>
      <c r="Y182" s="63">
        <f t="shared" si="54"/>
        <v>0.55522507424559442</v>
      </c>
      <c r="Z182" s="63">
        <f t="shared" si="54"/>
        <v>0.53065571465697647</v>
      </c>
      <c r="AA182" s="63">
        <f t="shared" si="54"/>
        <v>0.50717357799577223</v>
      </c>
      <c r="AB182" s="63">
        <f t="shared" si="54"/>
        <v>0</v>
      </c>
      <c r="AC182" s="63">
        <f t="shared" si="54"/>
        <v>0</v>
      </c>
      <c r="AD182" s="63">
        <f t="shared" si="54"/>
        <v>0</v>
      </c>
      <c r="AE182" s="63">
        <f t="shared" si="54"/>
        <v>0</v>
      </c>
      <c r="AF182" s="63">
        <f t="shared" si="54"/>
        <v>0</v>
      </c>
      <c r="AG182" s="63">
        <f t="shared" si="54"/>
        <v>0</v>
      </c>
      <c r="AH182" s="63">
        <f t="shared" si="54"/>
        <v>0</v>
      </c>
      <c r="AI182" s="63">
        <f t="shared" si="54"/>
        <v>0</v>
      </c>
      <c r="AJ182" s="63">
        <f t="shared" si="54"/>
        <v>0</v>
      </c>
      <c r="AK182" s="63">
        <f t="shared" si="54"/>
        <v>0</v>
      </c>
      <c r="AL182" s="63">
        <f t="shared" si="54"/>
        <v>0</v>
      </c>
      <c r="AM182" s="63">
        <f t="shared" si="54"/>
        <v>0</v>
      </c>
      <c r="AN182" s="63">
        <f t="shared" si="54"/>
        <v>0</v>
      </c>
      <c r="AO182" s="63">
        <f t="shared" si="54"/>
        <v>0</v>
      </c>
      <c r="AP182" s="63">
        <f t="shared" si="54"/>
        <v>0</v>
      </c>
    </row>
    <row r="183" spans="1:42" ht="29.1" customHeight="1" outlineLevel="2" x14ac:dyDescent="0.25">
      <c r="A183" s="156" t="s">
        <v>168</v>
      </c>
      <c r="B183" s="119" t="s">
        <v>291</v>
      </c>
      <c r="C183" s="5" t="s">
        <v>144</v>
      </c>
      <c r="D183" s="223" t="s">
        <v>169</v>
      </c>
      <c r="E183" s="223"/>
      <c r="F183" s="223"/>
      <c r="G183" s="223"/>
      <c r="H183" s="223" t="s">
        <v>292</v>
      </c>
      <c r="I183" s="223"/>
      <c r="J183" s="223"/>
      <c r="K183" s="223"/>
      <c r="L183" s="63">
        <f>IF(L$180&lt;=$D$69,'Distributor assumptions'!K$15,0)</f>
        <v>1</v>
      </c>
      <c r="M183" s="63">
        <f>IF(M$180&lt;=$D$69,'Distributor assumptions'!L$15,0)</f>
        <v>1.1000000000000001</v>
      </c>
      <c r="N183" s="63">
        <f>IF(N$180&lt;=$D$69,'Distributor assumptions'!M$15,0)</f>
        <v>1.2</v>
      </c>
      <c r="O183" s="63">
        <f>IF(O$180&lt;=$D$69,'Distributor assumptions'!N$15,0)</f>
        <v>1.32</v>
      </c>
      <c r="P183" s="63">
        <f>IF(P$180&lt;=$D$69,'Distributor assumptions'!O$15,0)</f>
        <v>1.44</v>
      </c>
      <c r="Q183" s="63">
        <f>IF(Q$180&lt;=$D$69,'Distributor assumptions'!P$15,0)</f>
        <v>1.44</v>
      </c>
      <c r="R183" s="63">
        <f>IF(R$180&lt;=$D$69,'Distributor assumptions'!Q$15,0)</f>
        <v>1.44</v>
      </c>
      <c r="S183" s="63">
        <f>IF(S$180&lt;=$D$69,'Distributor assumptions'!R$15,0)</f>
        <v>1.44</v>
      </c>
      <c r="T183" s="63">
        <f>IF(T$180&lt;=$D$69,'Distributor assumptions'!S$15,0)</f>
        <v>1.44</v>
      </c>
      <c r="U183" s="63">
        <f>IF(U$180&lt;=$D$69,'Distributor assumptions'!T$15,0)</f>
        <v>1.44</v>
      </c>
      <c r="V183" s="63">
        <f>IF(V$180&lt;=$D$69,'Distributor assumptions'!U$15,0)</f>
        <v>1.44</v>
      </c>
      <c r="W183" s="63">
        <f>IF(W$180&lt;=$D$69,'Distributor assumptions'!V$15,0)</f>
        <v>1.44</v>
      </c>
      <c r="X183" s="63">
        <f>IF(X$180&lt;=$D$69,'Distributor assumptions'!W$15,0)</f>
        <v>1.44</v>
      </c>
      <c r="Y183" s="63">
        <f>IF(Y$180&lt;=$D$69,'Distributor assumptions'!X$15,0)</f>
        <v>1.44</v>
      </c>
      <c r="Z183" s="63">
        <f>IF(Z$180&lt;=$D$69,'Distributor assumptions'!Y$15,0)</f>
        <v>1.44</v>
      </c>
      <c r="AA183" s="63">
        <f>IF(AA$180&lt;=$D$69,'Distributor assumptions'!Z$15,0)</f>
        <v>1.44</v>
      </c>
      <c r="AB183" s="63">
        <f>IF(AB$180&lt;=$D$69,'Distributor assumptions'!AA$15,0)</f>
        <v>0</v>
      </c>
      <c r="AC183" s="63">
        <f>IF(AC$180&lt;=$D$69,'Distributor assumptions'!AB$15,0)</f>
        <v>0</v>
      </c>
      <c r="AD183" s="63">
        <f>IF(AD$180&lt;=$D$69,'Distributor assumptions'!AC$15,0)</f>
        <v>0</v>
      </c>
      <c r="AE183" s="63">
        <f>IF(AE$180&lt;=$D$69,'Distributor assumptions'!AD$15,0)</f>
        <v>0</v>
      </c>
      <c r="AF183" s="63">
        <f>IF(AF$180&lt;=$D$69,'Distributor assumptions'!AE$15,0)</f>
        <v>0</v>
      </c>
      <c r="AG183" s="63">
        <f>IF(AG$180&lt;=$D$69,'Distributor assumptions'!AF$15,0)</f>
        <v>0</v>
      </c>
      <c r="AH183" s="63">
        <f>IF(AH$180&lt;=$D$69,'Distributor assumptions'!AG$15,0)</f>
        <v>0</v>
      </c>
      <c r="AI183" s="63">
        <f>IF(AI$180&lt;=$D$69,'Distributor assumptions'!AH$15,0)</f>
        <v>0</v>
      </c>
      <c r="AJ183" s="63">
        <f>IF(AJ$180&lt;=$D$69,'Distributor assumptions'!AI$15,0)</f>
        <v>0</v>
      </c>
      <c r="AK183" s="63">
        <f>IF(AK$180&lt;=$D$69,'Distributor assumptions'!AJ$15,0)</f>
        <v>0</v>
      </c>
      <c r="AL183" s="63">
        <f>IF(AL$180&lt;=$D$69,'Distributor assumptions'!AK$15,0)</f>
        <v>0</v>
      </c>
      <c r="AM183" s="63">
        <f>IF(AM$180&lt;=$D$69,'Distributor assumptions'!AL$15,0)</f>
        <v>0</v>
      </c>
      <c r="AN183" s="63">
        <f>IF(AN$180&lt;=$D$69,'Distributor assumptions'!AM$15,0)</f>
        <v>0</v>
      </c>
      <c r="AO183" s="63">
        <f>IF(AO$180&lt;=$D$69,'Distributor assumptions'!AN$15,0)</f>
        <v>0</v>
      </c>
      <c r="AP183" s="63">
        <f>IF(AP$180&lt;=$D$69,'Distributor assumptions'!AO$15,0)</f>
        <v>0</v>
      </c>
    </row>
    <row r="184" spans="1:42" ht="29.1" customHeight="1" outlineLevel="2" x14ac:dyDescent="0.25">
      <c r="A184" s="156" t="s">
        <v>170</v>
      </c>
      <c r="B184" s="5" t="s">
        <v>293</v>
      </c>
      <c r="C184" s="5" t="s">
        <v>144</v>
      </c>
      <c r="D184" s="223" t="s">
        <v>148</v>
      </c>
      <c r="E184" s="223"/>
      <c r="F184" s="223"/>
      <c r="G184" s="223"/>
      <c r="H184" s="223" t="s">
        <v>294</v>
      </c>
      <c r="I184" s="223"/>
      <c r="J184" s="223"/>
      <c r="K184" s="223"/>
      <c r="L184" s="63">
        <f>IF(L$180&lt;=$D$69,_xlfn.XLOOKUP($H$172,'Cons group &amp; variant assumption'!$A$75:$A$83,'Cons group &amp; variant assumption'!O$75:O$83),0)</f>
        <v>1</v>
      </c>
      <c r="M184" s="63">
        <f>IF(M$180&lt;=$D$69,_xlfn.XLOOKUP($H$172,'Cons group &amp; variant assumption'!$A$75:$A$83,'Cons group &amp; variant assumption'!P$75:P$83),0)</f>
        <v>1</v>
      </c>
      <c r="N184" s="63">
        <f>IF(N$180&lt;=$D$69,_xlfn.XLOOKUP($H$172,'Cons group &amp; variant assumption'!$A$75:$A$83,'Cons group &amp; variant assumption'!Q$75:Q$83),0)</f>
        <v>1</v>
      </c>
      <c r="O184" s="63">
        <f>IF(O$180&lt;=$D$69,_xlfn.XLOOKUP($H$172,'Cons group &amp; variant assumption'!$A$75:$A$83,'Cons group &amp; variant assumption'!R$75:R$83),0)</f>
        <v>1</v>
      </c>
      <c r="P184" s="63">
        <f>IF(P$180&lt;=$D$69,_xlfn.XLOOKUP($H$172,'Cons group &amp; variant assumption'!$A$75:$A$83,'Cons group &amp; variant assumption'!S$75:S$83),0)</f>
        <v>1</v>
      </c>
      <c r="Q184" s="63">
        <f>IF(Q$180&lt;=$D$69,_xlfn.XLOOKUP($H$172,'Cons group &amp; variant assumption'!$A$75:$A$83,'Cons group &amp; variant assumption'!T$75:T$83),0)</f>
        <v>1</v>
      </c>
      <c r="R184" s="63">
        <f>IF(R$180&lt;=$D$69,_xlfn.XLOOKUP($H$172,'Cons group &amp; variant assumption'!$A$75:$A$83,'Cons group &amp; variant assumption'!U$75:U$83),0)</f>
        <v>1</v>
      </c>
      <c r="S184" s="63">
        <f>IF(S$180&lt;=$D$69,_xlfn.XLOOKUP($H$172,'Cons group &amp; variant assumption'!$A$75:$A$83,'Cons group &amp; variant assumption'!V$75:V$83),0)</f>
        <v>1</v>
      </c>
      <c r="T184" s="63">
        <f>IF(T$180&lt;=$D$69,_xlfn.XLOOKUP($H$172,'Cons group &amp; variant assumption'!$A$75:$A$83,'Cons group &amp; variant assumption'!W$75:W$83),0)</f>
        <v>1</v>
      </c>
      <c r="U184" s="63">
        <f>IF(U$180&lt;=$D$69,_xlfn.XLOOKUP($H$172,'Cons group &amp; variant assumption'!$A$75:$A$83,'Cons group &amp; variant assumption'!X$75:X$83),0)</f>
        <v>1</v>
      </c>
      <c r="V184" s="63">
        <f>IF(V$180&lt;=$D$69,_xlfn.XLOOKUP($H$172,'Cons group &amp; variant assumption'!$A$75:$A$83,'Cons group &amp; variant assumption'!Y$75:Y$83),0)</f>
        <v>1</v>
      </c>
      <c r="W184" s="63">
        <f>IF(W$180&lt;=$D$69,_xlfn.XLOOKUP($H$172,'Cons group &amp; variant assumption'!$A$75:$A$83,'Cons group &amp; variant assumption'!Z$75:Z$83),0)</f>
        <v>1</v>
      </c>
      <c r="X184" s="63">
        <f>IF(X$180&lt;=$D$69,_xlfn.XLOOKUP($H$172,'Cons group &amp; variant assumption'!$A$75:$A$83,'Cons group &amp; variant assumption'!AA$75:AA$83),0)</f>
        <v>1</v>
      </c>
      <c r="Y184" s="63">
        <f>IF(Y$180&lt;=$D$69,_xlfn.XLOOKUP($H$172,'Cons group &amp; variant assumption'!$A$75:$A$83,'Cons group &amp; variant assumption'!AB$75:AB$83),0)</f>
        <v>1</v>
      </c>
      <c r="Z184" s="63">
        <f>IF(Z$180&lt;=$D$69,_xlfn.XLOOKUP($H$172,'Cons group &amp; variant assumption'!$A$75:$A$83,'Cons group &amp; variant assumption'!AC$75:AC$83),0)</f>
        <v>1</v>
      </c>
      <c r="AA184" s="63">
        <f>IF(AA$180&lt;=$D$69,_xlfn.XLOOKUP($H$172,'Cons group &amp; variant assumption'!$A$75:$A$83,'Cons group &amp; variant assumption'!AD$75:AD$83),0)</f>
        <v>1</v>
      </c>
      <c r="AB184" s="63">
        <f>IF(AB$180&lt;=$D$69,_xlfn.XLOOKUP($H$172,'Cons group &amp; variant assumption'!$A$75:$A$83,'Cons group &amp; variant assumption'!AE$75:AE$83),0)</f>
        <v>0</v>
      </c>
      <c r="AC184" s="63">
        <f>IF(AC$180&lt;=$D$69,_xlfn.XLOOKUP($H$172,'Cons group &amp; variant assumption'!$A$75:$A$83,'Cons group &amp; variant assumption'!AF$75:AF$83),0)</f>
        <v>0</v>
      </c>
      <c r="AD184" s="63">
        <f>IF(AD$180&lt;=$D$69,_xlfn.XLOOKUP($H$172,'Cons group &amp; variant assumption'!$A$75:$A$83,'Cons group &amp; variant assumption'!AG$75:AG$83),0)</f>
        <v>0</v>
      </c>
      <c r="AE184" s="63">
        <f>IF(AE$180&lt;=$D$69,_xlfn.XLOOKUP($H$172,'Cons group &amp; variant assumption'!$A$75:$A$83,'Cons group &amp; variant assumption'!AH$75:AH$83),0)</f>
        <v>0</v>
      </c>
      <c r="AF184" s="63">
        <f>IF(AF$180&lt;=$D$69,_xlfn.XLOOKUP($H$172,'Cons group &amp; variant assumption'!$A$75:$A$83,'Cons group &amp; variant assumption'!AI$75:AI$83),0)</f>
        <v>0</v>
      </c>
      <c r="AG184" s="63">
        <f>IF(AG$180&lt;=$D$69,_xlfn.XLOOKUP($H$172,'Cons group &amp; variant assumption'!$A$75:$A$83,'Cons group &amp; variant assumption'!AJ$75:AJ$83),0)</f>
        <v>0</v>
      </c>
      <c r="AH184" s="63">
        <f>IF(AH$180&lt;=$D$69,_xlfn.XLOOKUP($H$172,'Cons group &amp; variant assumption'!$A$75:$A$83,'Cons group &amp; variant assumption'!AK$75:AK$83),0)</f>
        <v>0</v>
      </c>
      <c r="AI184" s="63">
        <f>IF(AI$180&lt;=$D$69,_xlfn.XLOOKUP($H$172,'Cons group &amp; variant assumption'!$A$75:$A$83,'Cons group &amp; variant assumption'!AL$75:AL$83),0)</f>
        <v>0</v>
      </c>
      <c r="AJ184" s="63">
        <f>IF(AJ$180&lt;=$D$69,_xlfn.XLOOKUP($H$172,'Cons group &amp; variant assumption'!$A$75:$A$83,'Cons group &amp; variant assumption'!AM$75:AM$83),0)</f>
        <v>0</v>
      </c>
      <c r="AK184" s="63">
        <f>IF(AK$180&lt;=$D$69,_xlfn.XLOOKUP($H$172,'Cons group &amp; variant assumption'!$A$75:$A$83,'Cons group &amp; variant assumption'!AN$75:AN$83),0)</f>
        <v>0</v>
      </c>
      <c r="AL184" s="63">
        <f>IF(AL$180&lt;=$D$69,_xlfn.XLOOKUP($H$172,'Cons group &amp; variant assumption'!$A$75:$A$83,'Cons group &amp; variant assumption'!AO$75:AO$83),0)</f>
        <v>0</v>
      </c>
      <c r="AM184" s="63">
        <f>IF(AM$180&lt;=$D$69,_xlfn.XLOOKUP($H$172,'Cons group &amp; variant assumption'!$A$75:$A$83,'Cons group &amp; variant assumption'!AP$75:AP$83),0)</f>
        <v>0</v>
      </c>
      <c r="AN184" s="63">
        <f>IF(AN$180&lt;=$D$69,_xlfn.XLOOKUP($H$172,'Cons group &amp; variant assumption'!$A$75:$A$83,'Cons group &amp; variant assumption'!AQ$75:AQ$83),0)</f>
        <v>0</v>
      </c>
      <c r="AO184" s="63">
        <f>IF(AO$180&lt;=$D$69,_xlfn.XLOOKUP($H$172,'Cons group &amp; variant assumption'!$A$75:$A$83,'Cons group &amp; variant assumption'!AR$75:AR$83),0)</f>
        <v>0</v>
      </c>
      <c r="AP184" s="63">
        <f>IF(AP$180&lt;=$D$69,_xlfn.XLOOKUP($H$172,'Cons group &amp; variant assumption'!$A$75:$A$83,'Cons group &amp; variant assumption'!AS$75:AS$83),0)</f>
        <v>0</v>
      </c>
    </row>
    <row r="185" spans="1:42" ht="29.1" customHeight="1" outlineLevel="2" x14ac:dyDescent="0.25">
      <c r="A185" s="156" t="s">
        <v>171</v>
      </c>
      <c r="B185" s="5" t="s">
        <v>149</v>
      </c>
      <c r="C185" s="5" t="s">
        <v>144</v>
      </c>
      <c r="D185" s="223" t="s">
        <v>153</v>
      </c>
      <c r="E185" s="223"/>
      <c r="F185" s="223"/>
      <c r="G185" s="223"/>
      <c r="H185" s="223" t="s">
        <v>457</v>
      </c>
      <c r="I185" s="223"/>
      <c r="J185" s="223"/>
      <c r="K185" s="223"/>
      <c r="L185" s="63">
        <f>IF(L$180&lt;=$D$69,_xlfn.XLOOKUP($H$172,'Cons group &amp; variant assumption'!$A$106:$A$114,'Cons group &amp; variant assumption'!O$106:O$114),0)</f>
        <v>0.25</v>
      </c>
      <c r="M185" s="63">
        <f>IF(M$180&lt;=$D$69,_xlfn.XLOOKUP($H$172,'Cons group &amp; variant assumption'!$A$106:$A$114,'Cons group &amp; variant assumption'!P$106:P$114),0)</f>
        <v>1</v>
      </c>
      <c r="N185" s="63">
        <f>IF(N$180&lt;=$D$69,_xlfn.XLOOKUP($H$172,'Cons group &amp; variant assumption'!$A$106:$A$114,'Cons group &amp; variant assumption'!Q$106:Q$114),0)</f>
        <v>1</v>
      </c>
      <c r="O185" s="63">
        <f>IF(O$180&lt;=$D$69,_xlfn.XLOOKUP($H$172,'Cons group &amp; variant assumption'!$A$106:$A$114,'Cons group &amp; variant assumption'!R$106:R$114),0)</f>
        <v>1</v>
      </c>
      <c r="P185" s="63">
        <f>IF(P$180&lt;=$D$69,_xlfn.XLOOKUP($H$172,'Cons group &amp; variant assumption'!$A$106:$A$114,'Cons group &amp; variant assumption'!S$106:S$114),0)</f>
        <v>1</v>
      </c>
      <c r="Q185" s="63">
        <f>IF(Q$180&lt;=$D$69,_xlfn.XLOOKUP($H$172,'Cons group &amp; variant assumption'!$A$106:$A$114,'Cons group &amp; variant assumption'!T$106:T$114),0)</f>
        <v>1</v>
      </c>
      <c r="R185" s="63">
        <f>IF(R$180&lt;=$D$69,_xlfn.XLOOKUP($H$172,'Cons group &amp; variant assumption'!$A$106:$A$114,'Cons group &amp; variant assumption'!U$106:U$114),0)</f>
        <v>1</v>
      </c>
      <c r="S185" s="63">
        <f>IF(S$180&lt;=$D$69,_xlfn.XLOOKUP($H$172,'Cons group &amp; variant assumption'!$A$106:$A$114,'Cons group &amp; variant assumption'!V$106:V$114),0)</f>
        <v>1</v>
      </c>
      <c r="T185" s="63">
        <f>IF(T$180&lt;=$D$69,_xlfn.XLOOKUP($H$172,'Cons group &amp; variant assumption'!$A$106:$A$114,'Cons group &amp; variant assumption'!W$106:W$114),0)</f>
        <v>1</v>
      </c>
      <c r="U185" s="63">
        <f>IF(U$180&lt;=$D$69,_xlfn.XLOOKUP($H$172,'Cons group &amp; variant assumption'!$A$106:$A$114,'Cons group &amp; variant assumption'!X$106:X$114),0)</f>
        <v>1</v>
      </c>
      <c r="V185" s="63">
        <f>IF(V$180&lt;=$D$69,_xlfn.XLOOKUP($H$172,'Cons group &amp; variant assumption'!$A$106:$A$114,'Cons group &amp; variant assumption'!Y$106:Y$114),0)</f>
        <v>1</v>
      </c>
      <c r="W185" s="63">
        <f>IF(W$180&lt;=$D$69,_xlfn.XLOOKUP($H$172,'Cons group &amp; variant assumption'!$A$106:$A$114,'Cons group &amp; variant assumption'!Z$106:Z$114),0)</f>
        <v>1</v>
      </c>
      <c r="X185" s="63">
        <f>IF(X$180&lt;=$D$69,_xlfn.XLOOKUP($H$172,'Cons group &amp; variant assumption'!$A$106:$A$114,'Cons group &amp; variant assumption'!AA$106:AA$114),0)</f>
        <v>1</v>
      </c>
      <c r="Y185" s="63">
        <f>IF(Y$180&lt;=$D$69,_xlfn.XLOOKUP($H$172,'Cons group &amp; variant assumption'!$A$106:$A$114,'Cons group &amp; variant assumption'!AB$106:AB$114),0)</f>
        <v>1</v>
      </c>
      <c r="Z185" s="63">
        <f>IF(Z$180&lt;=$D$69,_xlfn.XLOOKUP($H$172,'Cons group &amp; variant assumption'!$A$106:$A$114,'Cons group &amp; variant assumption'!AC$106:AC$114),0)</f>
        <v>1</v>
      </c>
      <c r="AA185" s="63">
        <f>IF(AA$180&lt;=$D$69,_xlfn.XLOOKUP($H$172,'Cons group &amp; variant assumption'!$A$106:$A$114,'Cons group &amp; variant assumption'!AD$106:AD$114),0)</f>
        <v>1</v>
      </c>
      <c r="AB185" s="63">
        <f>IF(AB$180&lt;=$D$69,_xlfn.XLOOKUP($H$172,'Cons group &amp; variant assumption'!$A$106:$A$114,'Cons group &amp; variant assumption'!AE$106:AE$114),0)</f>
        <v>0</v>
      </c>
      <c r="AC185" s="63">
        <f>IF(AC$180&lt;=$D$69,_xlfn.XLOOKUP($H$172,'Cons group &amp; variant assumption'!$A$106:$A$114,'Cons group &amp; variant assumption'!AF$106:AF$114),0)</f>
        <v>0</v>
      </c>
      <c r="AD185" s="63">
        <f>IF(AD$180&lt;=$D$69,_xlfn.XLOOKUP($H$172,'Cons group &amp; variant assumption'!$A$106:$A$114,'Cons group &amp; variant assumption'!AG$106:AG$114),0)</f>
        <v>0</v>
      </c>
      <c r="AE185" s="63">
        <f>IF(AE$180&lt;=$D$69,_xlfn.XLOOKUP($H$172,'Cons group &amp; variant assumption'!$A$106:$A$114,'Cons group &amp; variant assumption'!AH$106:AH$114),0)</f>
        <v>0</v>
      </c>
      <c r="AF185" s="63">
        <f>IF(AF$180&lt;=$D$69,_xlfn.XLOOKUP($H$172,'Cons group &amp; variant assumption'!$A$106:$A$114,'Cons group &amp; variant assumption'!AI$106:AI$114),0)</f>
        <v>0</v>
      </c>
      <c r="AG185" s="63">
        <f>IF(AG$180&lt;=$D$69,_xlfn.XLOOKUP($H$172,'Cons group &amp; variant assumption'!$A$106:$A$114,'Cons group &amp; variant assumption'!AJ$106:AJ$114),0)</f>
        <v>0</v>
      </c>
      <c r="AH185" s="63">
        <f>IF(AH$180&lt;=$D$69,_xlfn.XLOOKUP($H$172,'Cons group &amp; variant assumption'!$A$106:$A$114,'Cons group &amp; variant assumption'!AK$106:AK$114),0)</f>
        <v>0</v>
      </c>
      <c r="AI185" s="63">
        <f>IF(AI$180&lt;=$D$69,_xlfn.XLOOKUP($H$172,'Cons group &amp; variant assumption'!$A$106:$A$114,'Cons group &amp; variant assumption'!AL$106:AL$114),0)</f>
        <v>0</v>
      </c>
      <c r="AJ185" s="63">
        <f>IF(AJ$180&lt;=$D$69,_xlfn.XLOOKUP($H$172,'Cons group &amp; variant assumption'!$A$106:$A$114,'Cons group &amp; variant assumption'!AM$106:AM$114),0)</f>
        <v>0</v>
      </c>
      <c r="AK185" s="63">
        <f>IF(AK$180&lt;=$D$69,_xlfn.XLOOKUP($H$172,'Cons group &amp; variant assumption'!$A$106:$A$114,'Cons group &amp; variant assumption'!AN$106:AN$114),0)</f>
        <v>0</v>
      </c>
      <c r="AL185" s="63">
        <f>IF(AL$180&lt;=$D$69,_xlfn.XLOOKUP($H$172,'Cons group &amp; variant assumption'!$A$106:$A$114,'Cons group &amp; variant assumption'!AO$106:AO$114),0)</f>
        <v>0</v>
      </c>
      <c r="AM185" s="63">
        <f>IF(AM$180&lt;=$D$69,_xlfn.XLOOKUP($H$172,'Cons group &amp; variant assumption'!$A$106:$A$114,'Cons group &amp; variant assumption'!AP$106:AP$114),0)</f>
        <v>0</v>
      </c>
      <c r="AN185" s="63">
        <f>IF(AN$180&lt;=$D$69,_xlfn.XLOOKUP($H$172,'Cons group &amp; variant assumption'!$A$106:$A$114,'Cons group &amp; variant assumption'!AQ$106:AQ$114),0)</f>
        <v>0</v>
      </c>
      <c r="AO185" s="63">
        <f>IF(AO$180&lt;=$D$69,_xlfn.XLOOKUP($H$172,'Cons group &amp; variant assumption'!$A$106:$A$114,'Cons group &amp; variant assumption'!AR$106:AR$114),0)</f>
        <v>0</v>
      </c>
      <c r="AP185" s="63">
        <f>IF(AP$180&lt;=$D$69,_xlfn.XLOOKUP($H$172,'Cons group &amp; variant assumption'!$A$106:$A$114,'Cons group &amp; variant assumption'!AS$106:AS$114),0)</f>
        <v>0</v>
      </c>
    </row>
    <row r="186" spans="1:42" ht="15.75" outlineLevel="2" thickBot="1" x14ac:dyDescent="0.3">
      <c r="A186" s="158" t="s">
        <v>172</v>
      </c>
      <c r="B186" s="70" t="s">
        <v>173</v>
      </c>
      <c r="C186" s="16" t="s">
        <v>35</v>
      </c>
      <c r="D186" s="224"/>
      <c r="E186" s="224"/>
      <c r="F186" s="224"/>
      <c r="G186" s="224"/>
      <c r="H186" s="224"/>
      <c r="I186" s="224"/>
      <c r="J186" s="224"/>
      <c r="K186" s="224"/>
      <c r="L186" s="98">
        <f t="shared" ref="L186:AP186" si="55">$D177*L182*L183*L184*L185</f>
        <v>68130</v>
      </c>
      <c r="M186" s="98">
        <f t="shared" si="55"/>
        <v>286506.73802924593</v>
      </c>
      <c r="N186" s="98">
        <f t="shared" si="55"/>
        <v>298721.97756170668</v>
      </c>
      <c r="O186" s="98">
        <f t="shared" si="55"/>
        <v>314053.49834452587</v>
      </c>
      <c r="P186" s="98">
        <f t="shared" si="55"/>
        <v>327443.19638329954</v>
      </c>
      <c r="Q186" s="98">
        <f t="shared" si="55"/>
        <v>312953.45157536032</v>
      </c>
      <c r="R186" s="98">
        <f t="shared" si="55"/>
        <v>299104.89493965433</v>
      </c>
      <c r="S186" s="98">
        <f t="shared" si="55"/>
        <v>285869.15314886201</v>
      </c>
      <c r="T186" s="98">
        <f t="shared" si="55"/>
        <v>273219.10842861701</v>
      </c>
      <c r="U186" s="98">
        <f t="shared" si="55"/>
        <v>261128.84299781808</v>
      </c>
      <c r="V186" s="98">
        <f t="shared" si="55"/>
        <v>249573.58596752174</v>
      </c>
      <c r="W186" s="98">
        <f t="shared" si="55"/>
        <v>238529.66258962225</v>
      </c>
      <c r="X186" s="98">
        <f t="shared" si="55"/>
        <v>227974.44575133541</v>
      </c>
      <c r="Y186" s="98">
        <f t="shared" si="55"/>
        <v>217886.3096161095</v>
      </c>
      <c r="Z186" s="98">
        <f t="shared" si="55"/>
        <v>208244.5853159797</v>
      </c>
      <c r="AA186" s="98">
        <f t="shared" si="55"/>
        <v>199029.51860458727</v>
      </c>
      <c r="AB186" s="98">
        <f t="shared" si="55"/>
        <v>0</v>
      </c>
      <c r="AC186" s="98">
        <f t="shared" si="55"/>
        <v>0</v>
      </c>
      <c r="AD186" s="98">
        <f t="shared" si="55"/>
        <v>0</v>
      </c>
      <c r="AE186" s="98">
        <f t="shared" si="55"/>
        <v>0</v>
      </c>
      <c r="AF186" s="98">
        <f t="shared" si="55"/>
        <v>0</v>
      </c>
      <c r="AG186" s="98">
        <f t="shared" si="55"/>
        <v>0</v>
      </c>
      <c r="AH186" s="98">
        <f t="shared" si="55"/>
        <v>0</v>
      </c>
      <c r="AI186" s="98">
        <f t="shared" si="55"/>
        <v>0</v>
      </c>
      <c r="AJ186" s="98">
        <f t="shared" si="55"/>
        <v>0</v>
      </c>
      <c r="AK186" s="98">
        <f t="shared" si="55"/>
        <v>0</v>
      </c>
      <c r="AL186" s="98">
        <f t="shared" si="55"/>
        <v>0</v>
      </c>
      <c r="AM186" s="98">
        <f t="shared" si="55"/>
        <v>0</v>
      </c>
      <c r="AN186" s="98">
        <f t="shared" si="55"/>
        <v>0</v>
      </c>
      <c r="AO186" s="98">
        <f t="shared" si="55"/>
        <v>0</v>
      </c>
      <c r="AP186" s="98">
        <f t="shared" si="55"/>
        <v>0</v>
      </c>
    </row>
    <row r="187" spans="1:42" ht="15.75" outlineLevel="2" thickTop="1" x14ac:dyDescent="0.25">
      <c r="A187" s="4"/>
    </row>
    <row r="188" spans="1:42" outlineLevel="2" x14ac:dyDescent="0.25">
      <c r="A188" s="4"/>
      <c r="B188" s="6" t="s">
        <v>174</v>
      </c>
      <c r="C188" s="6" t="s">
        <v>61</v>
      </c>
      <c r="D188" s="39" t="str">
        <f>$C$195</f>
        <v>Variant 3b</v>
      </c>
      <c r="E188" s="225" t="s">
        <v>32</v>
      </c>
      <c r="F188" s="225"/>
      <c r="G188" s="225"/>
      <c r="H188" s="225"/>
      <c r="I188" s="225"/>
      <c r="J188" s="225"/>
      <c r="K188" s="225"/>
      <c r="L188" s="225" t="s">
        <v>33</v>
      </c>
      <c r="M188" s="225"/>
      <c r="N188" s="225"/>
      <c r="O188" s="225"/>
      <c r="P188" s="225"/>
      <c r="Q188" s="225"/>
      <c r="R188" s="225"/>
    </row>
    <row r="189" spans="1:42" outlineLevel="2" x14ac:dyDescent="0.25">
      <c r="A189" s="4"/>
      <c r="B189" s="6" t="s">
        <v>175</v>
      </c>
      <c r="C189" s="6" t="s">
        <v>35</v>
      </c>
      <c r="D189" s="65">
        <f>SUM(L186:AP186)</f>
        <v>4068368.9692542455</v>
      </c>
      <c r="E189" s="226" t="s">
        <v>154</v>
      </c>
      <c r="F189" s="226"/>
      <c r="G189" s="226"/>
      <c r="H189" s="226"/>
      <c r="I189" s="226"/>
      <c r="J189" s="226"/>
      <c r="K189" s="226"/>
      <c r="L189" s="226"/>
      <c r="M189" s="226"/>
      <c r="N189" s="226"/>
      <c r="O189" s="226"/>
      <c r="P189" s="226"/>
      <c r="Q189" s="226"/>
      <c r="R189" s="226"/>
    </row>
    <row r="190" spans="1:42" ht="14.45" customHeight="1" outlineLevel="2" x14ac:dyDescent="0.25">
      <c r="A190" s="4"/>
    </row>
    <row r="191" spans="1:42" ht="14.45" customHeight="1" outlineLevel="1" x14ac:dyDescent="0.25">
      <c r="A191" s="43" t="s">
        <v>231</v>
      </c>
      <c r="D191" s="36"/>
      <c r="E191" s="36"/>
      <c r="F191" s="36"/>
      <c r="G191" s="36"/>
      <c r="H191" s="36"/>
      <c r="I191" s="36"/>
      <c r="J191" s="36"/>
    </row>
    <row r="192" spans="1:42" ht="14.45" customHeight="1" outlineLevel="1" x14ac:dyDescent="0.25">
      <c r="D192" s="36"/>
      <c r="E192" s="36"/>
      <c r="F192" s="36"/>
      <c r="G192" s="36"/>
      <c r="H192" s="36"/>
      <c r="I192" s="36"/>
      <c r="J192" s="36"/>
    </row>
    <row r="193" spans="1:42" outlineLevel="2" x14ac:dyDescent="0.25">
      <c r="A193" s="4"/>
      <c r="B193" s="256" t="s">
        <v>229</v>
      </c>
      <c r="C193" s="256"/>
      <c r="D193" s="256"/>
      <c r="E193" s="256"/>
      <c r="F193" s="256"/>
      <c r="G193" s="256"/>
      <c r="H193" s="256"/>
      <c r="I193" s="256"/>
      <c r="J193" s="256"/>
      <c r="K193" s="256"/>
      <c r="L193" s="256"/>
      <c r="M193" s="256"/>
      <c r="N193" s="256"/>
      <c r="O193" s="256"/>
      <c r="P193" s="256"/>
      <c r="Q193" s="256"/>
      <c r="R193" s="256"/>
    </row>
    <row r="194" spans="1:42" outlineLevel="2" x14ac:dyDescent="0.25">
      <c r="A194" s="4"/>
    </row>
    <row r="195" spans="1:42" ht="14.45" customHeight="1" outlineLevel="2" x14ac:dyDescent="0.25">
      <c r="A195" s="4"/>
      <c r="B195" s="7" t="s">
        <v>160</v>
      </c>
      <c r="C195" s="151" t="str">
        <f>Sc3_variant</f>
        <v>Variant 3b</v>
      </c>
      <c r="E195" s="120" t="s">
        <v>274</v>
      </c>
      <c r="H195" s="150" t="str">
        <f>_xlfn.XLOOKUP(C195,$D$161:$G$161,$D$162:$G$162)</f>
        <v>Variant 3b customer</v>
      </c>
      <c r="I195" s="60"/>
      <c r="J195" s="121"/>
    </row>
    <row r="196" spans="1:42" ht="14.45" customHeight="1" outlineLevel="1" x14ac:dyDescent="0.25">
      <c r="D196" s="36"/>
      <c r="E196" s="36"/>
      <c r="F196" s="36"/>
      <c r="G196" s="36"/>
      <c r="H196" s="36"/>
      <c r="I196" s="36"/>
      <c r="J196" s="36"/>
    </row>
    <row r="197" spans="1:42" ht="14.45" customHeight="1" outlineLevel="1" x14ac:dyDescent="0.25">
      <c r="B197" s="8" t="str">
        <f>"ITR calculation"&amp;" for "&amp;Sc3_variant</f>
        <v>ITR calculation for Variant 3b</v>
      </c>
      <c r="D197" s="36"/>
      <c r="E197" s="36"/>
      <c r="F197" s="36"/>
      <c r="G197" s="36"/>
      <c r="H197" s="36"/>
      <c r="I197" s="36"/>
      <c r="J197" s="36"/>
    </row>
    <row r="198" spans="1:42" ht="14.45" customHeight="1" outlineLevel="1" x14ac:dyDescent="0.25">
      <c r="D198" s="36"/>
      <c r="E198" s="36"/>
      <c r="F198" s="36"/>
      <c r="G198" s="36"/>
      <c r="H198" s="36"/>
      <c r="I198" s="36"/>
      <c r="J198" s="36"/>
    </row>
    <row r="199" spans="1:42" outlineLevel="2" x14ac:dyDescent="0.25">
      <c r="A199" s="4"/>
      <c r="B199" s="6" t="s">
        <v>127</v>
      </c>
      <c r="C199" s="6" t="s">
        <v>61</v>
      </c>
      <c r="D199" s="39" t="str">
        <f>$C$195</f>
        <v>Variant 3b</v>
      </c>
      <c r="E199" s="225" t="s">
        <v>32</v>
      </c>
      <c r="F199" s="225"/>
      <c r="G199" s="225"/>
      <c r="H199" s="225"/>
      <c r="I199" s="225"/>
      <c r="J199" s="225"/>
      <c r="K199" s="225"/>
      <c r="L199" s="225" t="s">
        <v>33</v>
      </c>
      <c r="M199" s="225"/>
      <c r="N199" s="225"/>
      <c r="O199" s="225"/>
      <c r="P199" s="225"/>
      <c r="Q199" s="225"/>
      <c r="R199" s="225"/>
    </row>
    <row r="200" spans="1:42" ht="29.1" customHeight="1" outlineLevel="2" x14ac:dyDescent="0.25">
      <c r="A200" s="156" t="s">
        <v>162</v>
      </c>
      <c r="B200" s="6" t="s">
        <v>127</v>
      </c>
      <c r="C200" s="5" t="s">
        <v>35</v>
      </c>
      <c r="D200" s="153">
        <f>_xlfn.XLOOKUP($C$195,$D$164:$G$164,$D$166:$G$166)</f>
        <v>80000</v>
      </c>
      <c r="E200" s="226" t="s">
        <v>128</v>
      </c>
      <c r="F200" s="226"/>
      <c r="G200" s="226"/>
      <c r="H200" s="226"/>
      <c r="I200" s="226"/>
      <c r="J200" s="226"/>
      <c r="K200" s="226"/>
      <c r="L200" s="226" t="s">
        <v>290</v>
      </c>
      <c r="M200" s="226"/>
      <c r="N200" s="226"/>
      <c r="O200" s="226"/>
      <c r="P200" s="226"/>
      <c r="Q200" s="226"/>
      <c r="R200" s="226"/>
    </row>
    <row r="201" spans="1:42" outlineLevel="2" x14ac:dyDescent="0.25">
      <c r="A201" s="157"/>
      <c r="B201" s="7"/>
      <c r="D201" s="78"/>
    </row>
    <row r="202" spans="1:42" outlineLevel="2" x14ac:dyDescent="0.25">
      <c r="A202" s="157"/>
      <c r="B202" s="7"/>
      <c r="D202" s="78"/>
      <c r="L202" s="247" t="s">
        <v>139</v>
      </c>
      <c r="M202" s="248"/>
      <c r="N202" s="248"/>
      <c r="O202" s="248"/>
      <c r="P202" s="248"/>
      <c r="Q202" s="248"/>
      <c r="R202" s="248"/>
      <c r="S202" s="248"/>
      <c r="T202" s="248"/>
      <c r="U202" s="248"/>
      <c r="V202" s="248"/>
      <c r="W202" s="248"/>
      <c r="X202" s="248"/>
      <c r="Y202" s="248"/>
      <c r="Z202" s="248"/>
      <c r="AA202" s="248"/>
      <c r="AB202" s="248"/>
      <c r="AC202" s="248"/>
      <c r="AD202" s="248"/>
      <c r="AE202" s="248"/>
      <c r="AF202" s="248"/>
      <c r="AG202" s="248"/>
      <c r="AH202" s="248"/>
      <c r="AI202" s="248"/>
      <c r="AJ202" s="248"/>
      <c r="AK202" s="248"/>
      <c r="AL202" s="248"/>
      <c r="AM202" s="248"/>
      <c r="AN202" s="248"/>
      <c r="AO202" s="248"/>
      <c r="AP202" s="249"/>
    </row>
    <row r="203" spans="1:42" outlineLevel="2" x14ac:dyDescent="0.25">
      <c r="A203" s="157"/>
      <c r="B203" s="6" t="s">
        <v>176</v>
      </c>
      <c r="C203" s="6" t="s">
        <v>61</v>
      </c>
      <c r="D203" s="225" t="s">
        <v>32</v>
      </c>
      <c r="E203" s="225"/>
      <c r="F203" s="225"/>
      <c r="G203" s="225"/>
      <c r="H203" s="255" t="s">
        <v>33</v>
      </c>
      <c r="I203" s="255"/>
      <c r="J203" s="255"/>
      <c r="K203" s="255"/>
      <c r="L203" s="6">
        <v>0</v>
      </c>
      <c r="M203" s="6">
        <v>1</v>
      </c>
      <c r="N203" s="6">
        <v>2</v>
      </c>
      <c r="O203" s="6">
        <v>3</v>
      </c>
      <c r="P203" s="6">
        <v>4</v>
      </c>
      <c r="Q203" s="6">
        <v>5</v>
      </c>
      <c r="R203" s="6">
        <v>6</v>
      </c>
      <c r="S203" s="6">
        <v>7</v>
      </c>
      <c r="T203" s="6">
        <v>8</v>
      </c>
      <c r="U203" s="6">
        <v>9</v>
      </c>
      <c r="V203" s="6">
        <v>10</v>
      </c>
      <c r="W203" s="6">
        <v>11</v>
      </c>
      <c r="X203" s="6">
        <v>12</v>
      </c>
      <c r="Y203" s="6">
        <v>13</v>
      </c>
      <c r="Z203" s="6">
        <v>14</v>
      </c>
      <c r="AA203" s="6">
        <v>15</v>
      </c>
      <c r="AB203" s="6">
        <v>16</v>
      </c>
      <c r="AC203" s="6">
        <v>17</v>
      </c>
      <c r="AD203" s="6">
        <v>18</v>
      </c>
      <c r="AE203" s="6">
        <v>19</v>
      </c>
      <c r="AF203" s="6">
        <v>20</v>
      </c>
      <c r="AG203" s="6">
        <v>21</v>
      </c>
      <c r="AH203" s="6">
        <v>22</v>
      </c>
      <c r="AI203" s="6">
        <v>23</v>
      </c>
      <c r="AJ203" s="6">
        <v>24</v>
      </c>
      <c r="AK203" s="6">
        <v>25</v>
      </c>
      <c r="AL203" s="6">
        <v>26</v>
      </c>
      <c r="AM203" s="6">
        <v>27</v>
      </c>
      <c r="AN203" s="6">
        <v>28</v>
      </c>
      <c r="AO203" s="6">
        <v>29</v>
      </c>
      <c r="AP203" s="6">
        <v>30</v>
      </c>
    </row>
    <row r="204" spans="1:42" outlineLevel="2" x14ac:dyDescent="0.25">
      <c r="A204" s="157"/>
      <c r="B204" s="5" t="s">
        <v>140</v>
      </c>
      <c r="C204" s="5" t="s">
        <v>141</v>
      </c>
      <c r="D204" s="223" t="s">
        <v>193</v>
      </c>
      <c r="E204" s="223"/>
      <c r="F204" s="223"/>
      <c r="G204" s="223"/>
      <c r="H204" s="223"/>
      <c r="I204" s="223"/>
      <c r="J204" s="223"/>
      <c r="K204" s="223"/>
      <c r="L204" s="77">
        <f>L$73</f>
        <v>2026</v>
      </c>
      <c r="M204" s="77">
        <f t="shared" ref="M204:AP204" si="56">M$73</f>
        <v>2027</v>
      </c>
      <c r="N204" s="77">
        <f t="shared" si="56"/>
        <v>2028</v>
      </c>
      <c r="O204" s="77">
        <f t="shared" si="56"/>
        <v>2029</v>
      </c>
      <c r="P204" s="77">
        <f t="shared" si="56"/>
        <v>2030</v>
      </c>
      <c r="Q204" s="77">
        <f t="shared" si="56"/>
        <v>2031</v>
      </c>
      <c r="R204" s="77">
        <f t="shared" si="56"/>
        <v>2032</v>
      </c>
      <c r="S204" s="77">
        <f t="shared" si="56"/>
        <v>2033</v>
      </c>
      <c r="T204" s="77">
        <f t="shared" si="56"/>
        <v>2034</v>
      </c>
      <c r="U204" s="77">
        <f t="shared" si="56"/>
        <v>2035</v>
      </c>
      <c r="V204" s="77">
        <f t="shared" si="56"/>
        <v>2036</v>
      </c>
      <c r="W204" s="77">
        <f t="shared" si="56"/>
        <v>2037</v>
      </c>
      <c r="X204" s="77">
        <f t="shared" si="56"/>
        <v>2038</v>
      </c>
      <c r="Y204" s="77">
        <f t="shared" si="56"/>
        <v>2039</v>
      </c>
      <c r="Z204" s="77">
        <f t="shared" si="56"/>
        <v>2040</v>
      </c>
      <c r="AA204" s="77">
        <f t="shared" si="56"/>
        <v>2041</v>
      </c>
      <c r="AB204" s="77">
        <f t="shared" si="56"/>
        <v>2042</v>
      </c>
      <c r="AC204" s="77">
        <f t="shared" si="56"/>
        <v>2043</v>
      </c>
      <c r="AD204" s="77">
        <f t="shared" si="56"/>
        <v>2044</v>
      </c>
      <c r="AE204" s="77">
        <f t="shared" si="56"/>
        <v>2045</v>
      </c>
      <c r="AF204" s="77">
        <f t="shared" si="56"/>
        <v>2046</v>
      </c>
      <c r="AG204" s="77">
        <f t="shared" si="56"/>
        <v>2047</v>
      </c>
      <c r="AH204" s="77">
        <f t="shared" si="56"/>
        <v>2048</v>
      </c>
      <c r="AI204" s="77">
        <f t="shared" si="56"/>
        <v>2049</v>
      </c>
      <c r="AJ204" s="77">
        <f t="shared" si="56"/>
        <v>2050</v>
      </c>
      <c r="AK204" s="77">
        <f t="shared" si="56"/>
        <v>2051</v>
      </c>
      <c r="AL204" s="77">
        <f t="shared" si="56"/>
        <v>2052</v>
      </c>
      <c r="AM204" s="77">
        <f t="shared" si="56"/>
        <v>2053</v>
      </c>
      <c r="AN204" s="77">
        <f t="shared" si="56"/>
        <v>2054</v>
      </c>
      <c r="AO204" s="77">
        <f t="shared" si="56"/>
        <v>2055</v>
      </c>
      <c r="AP204" s="77">
        <f t="shared" si="56"/>
        <v>2056</v>
      </c>
    </row>
    <row r="205" spans="1:42" ht="14.45" customHeight="1" outlineLevel="2" x14ac:dyDescent="0.25">
      <c r="A205" s="156" t="s">
        <v>166</v>
      </c>
      <c r="B205" s="5" t="s">
        <v>143</v>
      </c>
      <c r="C205" s="5" t="s">
        <v>144</v>
      </c>
      <c r="D205" s="223" t="s">
        <v>145</v>
      </c>
      <c r="E205" s="223"/>
      <c r="F205" s="223"/>
      <c r="G205" s="223"/>
      <c r="H205" s="223" t="s">
        <v>459</v>
      </c>
      <c r="I205" s="223"/>
      <c r="J205" s="223"/>
      <c r="K205" s="223"/>
      <c r="L205" s="63">
        <f>L$74</f>
        <v>1</v>
      </c>
      <c r="M205" s="63">
        <f t="shared" ref="M205:AP205" si="57">M$74</f>
        <v>0.95574882920768423</v>
      </c>
      <c r="N205" s="63">
        <f t="shared" si="57"/>
        <v>0.91345582453185914</v>
      </c>
      <c r="O205" s="63">
        <f t="shared" si="57"/>
        <v>0.87303433482926418</v>
      </c>
      <c r="P205" s="63">
        <f t="shared" si="57"/>
        <v>0.83440154337117856</v>
      </c>
      <c r="Q205" s="63">
        <f t="shared" si="57"/>
        <v>0.79747829816608862</v>
      </c>
      <c r="R205" s="63">
        <f t="shared" si="57"/>
        <v>0.76218894979077567</v>
      </c>
      <c r="S205" s="63">
        <f t="shared" si="57"/>
        <v>0.72846119639756823</v>
      </c>
      <c r="T205" s="63">
        <f t="shared" si="57"/>
        <v>0.69622593558020462</v>
      </c>
      <c r="U205" s="63">
        <f t="shared" si="57"/>
        <v>0.66541712279480525</v>
      </c>
      <c r="V205" s="63">
        <f t="shared" si="57"/>
        <v>0.63597163604588081</v>
      </c>
      <c r="W205" s="63">
        <f t="shared" si="57"/>
        <v>0.60782914656014608</v>
      </c>
      <c r="X205" s="63">
        <f t="shared" si="57"/>
        <v>0.58093199518316552</v>
      </c>
      <c r="Y205" s="63">
        <f t="shared" si="57"/>
        <v>0.55522507424559442</v>
      </c>
      <c r="Z205" s="63">
        <f t="shared" si="57"/>
        <v>0.53065571465697647</v>
      </c>
      <c r="AA205" s="63">
        <f t="shared" si="57"/>
        <v>0.50717357799577223</v>
      </c>
      <c r="AB205" s="63">
        <f t="shared" si="57"/>
        <v>0</v>
      </c>
      <c r="AC205" s="63">
        <f t="shared" si="57"/>
        <v>0</v>
      </c>
      <c r="AD205" s="63">
        <f t="shared" si="57"/>
        <v>0</v>
      </c>
      <c r="AE205" s="63">
        <f t="shared" si="57"/>
        <v>0</v>
      </c>
      <c r="AF205" s="63">
        <f t="shared" si="57"/>
        <v>0</v>
      </c>
      <c r="AG205" s="63">
        <f t="shared" si="57"/>
        <v>0</v>
      </c>
      <c r="AH205" s="63">
        <f t="shared" si="57"/>
        <v>0</v>
      </c>
      <c r="AI205" s="63">
        <f t="shared" si="57"/>
        <v>0</v>
      </c>
      <c r="AJ205" s="63">
        <f t="shared" si="57"/>
        <v>0</v>
      </c>
      <c r="AK205" s="63">
        <f t="shared" si="57"/>
        <v>0</v>
      </c>
      <c r="AL205" s="63">
        <f t="shared" si="57"/>
        <v>0</v>
      </c>
      <c r="AM205" s="63">
        <f t="shared" si="57"/>
        <v>0</v>
      </c>
      <c r="AN205" s="63">
        <f t="shared" si="57"/>
        <v>0</v>
      </c>
      <c r="AO205" s="63">
        <f t="shared" si="57"/>
        <v>0</v>
      </c>
      <c r="AP205" s="63">
        <f t="shared" si="57"/>
        <v>0</v>
      </c>
    </row>
    <row r="206" spans="1:42" ht="29.1" customHeight="1" outlineLevel="2" x14ac:dyDescent="0.25">
      <c r="A206" s="156" t="s">
        <v>168</v>
      </c>
      <c r="B206" s="119" t="s">
        <v>295</v>
      </c>
      <c r="C206" s="5" t="s">
        <v>144</v>
      </c>
      <c r="D206" s="223" t="s">
        <v>151</v>
      </c>
      <c r="E206" s="223"/>
      <c r="F206" s="223"/>
      <c r="G206" s="223"/>
      <c r="H206" s="223" t="s">
        <v>292</v>
      </c>
      <c r="I206" s="223"/>
      <c r="J206" s="223"/>
      <c r="K206" s="223"/>
      <c r="L206" s="63">
        <f>IF(L$203&lt;=$D$69,'Distributor assumptions'!K$16,0)</f>
        <v>1</v>
      </c>
      <c r="M206" s="63">
        <f>IF(M$203&lt;=$D$69,'Distributor assumptions'!L$16,0)</f>
        <v>1.1499999999999999</v>
      </c>
      <c r="N206" s="63">
        <f>IF(N$203&lt;=$D$69,'Distributor assumptions'!M$16,0)</f>
        <v>1.1599999999999999</v>
      </c>
      <c r="O206" s="63">
        <f>IF(O$203&lt;=$D$69,'Distributor assumptions'!N$16,0)</f>
        <v>1.19</v>
      </c>
      <c r="P206" s="63">
        <f>IF(P$203&lt;=$D$69,'Distributor assumptions'!O$16,0)</f>
        <v>1.21</v>
      </c>
      <c r="Q206" s="63">
        <f>IF(Q$203&lt;=$D$69,'Distributor assumptions'!P$16,0)</f>
        <v>1.24</v>
      </c>
      <c r="R206" s="63">
        <f>IF(R$203&lt;=$D$69,'Distributor assumptions'!Q$16,0)</f>
        <v>1.2</v>
      </c>
      <c r="S206" s="63">
        <f>IF(S$203&lt;=$D$69,'Distributor assumptions'!R$16,0)</f>
        <v>1.2</v>
      </c>
      <c r="T206" s="63">
        <f>IF(T$203&lt;=$D$69,'Distributor assumptions'!S$16,0)</f>
        <v>1.2</v>
      </c>
      <c r="U206" s="63">
        <f>IF(U$203&lt;=$D$69,'Distributor assumptions'!T$16,0)</f>
        <v>1.2</v>
      </c>
      <c r="V206" s="63">
        <f>IF(V$203&lt;=$D$69,'Distributor assumptions'!U$16,0)</f>
        <v>1.2</v>
      </c>
      <c r="W206" s="63">
        <f>IF(W$203&lt;=$D$69,'Distributor assumptions'!V$16,0)</f>
        <v>1.2</v>
      </c>
      <c r="X206" s="63">
        <f>IF(X$203&lt;=$D$69,'Distributor assumptions'!W$16,0)</f>
        <v>1.2</v>
      </c>
      <c r="Y206" s="63">
        <f>IF(Y$203&lt;=$D$69,'Distributor assumptions'!X$16,0)</f>
        <v>1.2</v>
      </c>
      <c r="Z206" s="63">
        <f>IF(Z$203&lt;=$D$69,'Distributor assumptions'!Y$16,0)</f>
        <v>1.2</v>
      </c>
      <c r="AA206" s="63">
        <f>IF(AA$203&lt;=$D$69,'Distributor assumptions'!Z$16,0)</f>
        <v>1.2</v>
      </c>
      <c r="AB206" s="63">
        <f>IF(AB$203&lt;=$D$69,'Distributor assumptions'!AA$16,0)</f>
        <v>0</v>
      </c>
      <c r="AC206" s="63">
        <f>IF(AC$203&lt;=$D$69,'Distributor assumptions'!AB$16,0)</f>
        <v>0</v>
      </c>
      <c r="AD206" s="63">
        <f>IF(AD$203&lt;=$D$69,'Distributor assumptions'!AC$16,0)</f>
        <v>0</v>
      </c>
      <c r="AE206" s="63">
        <f>IF(AE$203&lt;=$D$69,'Distributor assumptions'!AD$16,0)</f>
        <v>0</v>
      </c>
      <c r="AF206" s="63">
        <f>IF(AF$203&lt;=$D$69,'Distributor assumptions'!AE$16,0)</f>
        <v>0</v>
      </c>
      <c r="AG206" s="63">
        <f>IF(AG$203&lt;=$D$69,'Distributor assumptions'!AF$16,0)</f>
        <v>0</v>
      </c>
      <c r="AH206" s="63">
        <f>IF(AH$203&lt;=$D$69,'Distributor assumptions'!AG$16,0)</f>
        <v>0</v>
      </c>
      <c r="AI206" s="63">
        <f>IF(AI$203&lt;=$D$69,'Distributor assumptions'!AH$16,0)</f>
        <v>0</v>
      </c>
      <c r="AJ206" s="63">
        <f>IF(AJ$203&lt;=$D$69,'Distributor assumptions'!AI$16,0)</f>
        <v>0</v>
      </c>
      <c r="AK206" s="63">
        <f>IF(AK$203&lt;=$D$69,'Distributor assumptions'!AJ$16,0)</f>
        <v>0</v>
      </c>
      <c r="AL206" s="63">
        <f>IF(AL$203&lt;=$D$69,'Distributor assumptions'!AK$16,0)</f>
        <v>0</v>
      </c>
      <c r="AM206" s="63">
        <f>IF(AM$203&lt;=$D$69,'Distributor assumptions'!AL$16,0)</f>
        <v>0</v>
      </c>
      <c r="AN206" s="63">
        <f>IF(AN$203&lt;=$D$69,'Distributor assumptions'!AM$16,0)</f>
        <v>0</v>
      </c>
      <c r="AO206" s="63">
        <f>IF(AO$203&lt;=$D$69,'Distributor assumptions'!AN$16,0)</f>
        <v>0</v>
      </c>
      <c r="AP206" s="63">
        <f>IF(AP$203&lt;=$D$69,'Distributor assumptions'!AO$16,0)</f>
        <v>0</v>
      </c>
    </row>
    <row r="207" spans="1:42" ht="14.45" customHeight="1" outlineLevel="2" x14ac:dyDescent="0.25">
      <c r="A207" s="156" t="s">
        <v>170</v>
      </c>
      <c r="B207" s="5" t="s">
        <v>296</v>
      </c>
      <c r="C207" s="5" t="s">
        <v>144</v>
      </c>
      <c r="D207" s="223" t="s">
        <v>148</v>
      </c>
      <c r="E207" s="223"/>
      <c r="F207" s="223"/>
      <c r="G207" s="223"/>
      <c r="H207" s="223" t="s">
        <v>294</v>
      </c>
      <c r="I207" s="223"/>
      <c r="J207" s="223"/>
      <c r="K207" s="223"/>
      <c r="L207" s="63">
        <f>IF(L$203&lt;=$D$69,_xlfn.XLOOKUP($H$195,'Cons group &amp; variant assumption'!$A$88:$A$96,'Cons group &amp; variant assumption'!O$88:O$96),0)</f>
        <v>1</v>
      </c>
      <c r="M207" s="63">
        <f>IF(M$203&lt;=$D$69,_xlfn.XLOOKUP($H$195,'Cons group &amp; variant assumption'!$A$88:$A$96,'Cons group &amp; variant assumption'!P$88:P$96),0)</f>
        <v>1</v>
      </c>
      <c r="N207" s="63">
        <f>IF(N$203&lt;=$D$69,_xlfn.XLOOKUP($H$195,'Cons group &amp; variant assumption'!$A$88:$A$96,'Cons group &amp; variant assumption'!Q$88:Q$96),0)</f>
        <v>1</v>
      </c>
      <c r="O207" s="63">
        <f>IF(O$203&lt;=$D$69,_xlfn.XLOOKUP($H$195,'Cons group &amp; variant assumption'!$A$88:$A$96,'Cons group &amp; variant assumption'!R$88:R$96),0)</f>
        <v>1</v>
      </c>
      <c r="P207" s="63">
        <f>IF(P$203&lt;=$D$69,_xlfn.XLOOKUP($H$195,'Cons group &amp; variant assumption'!$A$88:$A$96,'Cons group &amp; variant assumption'!S$88:S$96),0)</f>
        <v>1</v>
      </c>
      <c r="Q207" s="63">
        <f>IF(Q$203&lt;=$D$69,_xlfn.XLOOKUP($H$195,'Cons group &amp; variant assumption'!$A$88:$A$96,'Cons group &amp; variant assumption'!T$88:T$96),0)</f>
        <v>1</v>
      </c>
      <c r="R207" s="63">
        <f>IF(R$203&lt;=$D$69,_xlfn.XLOOKUP($H$195,'Cons group &amp; variant assumption'!$A$88:$A$96,'Cons group &amp; variant assumption'!U$88:U$96),0)</f>
        <v>1</v>
      </c>
      <c r="S207" s="63">
        <f>IF(S$203&lt;=$D$69,_xlfn.XLOOKUP($H$195,'Cons group &amp; variant assumption'!$A$88:$A$96,'Cons group &amp; variant assumption'!V$88:V$96),0)</f>
        <v>1</v>
      </c>
      <c r="T207" s="63">
        <f>IF(T$203&lt;=$D$69,_xlfn.XLOOKUP($H$195,'Cons group &amp; variant assumption'!$A$88:$A$96,'Cons group &amp; variant assumption'!W$88:W$96),0)</f>
        <v>1</v>
      </c>
      <c r="U207" s="63">
        <f>IF(U$203&lt;=$D$69,_xlfn.XLOOKUP($H$195,'Cons group &amp; variant assumption'!$A$88:$A$96,'Cons group &amp; variant assumption'!X$88:X$96),0)</f>
        <v>1</v>
      </c>
      <c r="V207" s="63">
        <f>IF(V$203&lt;=$D$69,_xlfn.XLOOKUP($H$195,'Cons group &amp; variant assumption'!$A$88:$A$96,'Cons group &amp; variant assumption'!Y$88:Y$96),0)</f>
        <v>1</v>
      </c>
      <c r="W207" s="63">
        <f>IF(W$203&lt;=$D$69,_xlfn.XLOOKUP($H$195,'Cons group &amp; variant assumption'!$A$88:$A$96,'Cons group &amp; variant assumption'!Z$88:Z$96),0)</f>
        <v>1</v>
      </c>
      <c r="X207" s="63">
        <f>IF(X$203&lt;=$D$69,_xlfn.XLOOKUP($H$195,'Cons group &amp; variant assumption'!$A$88:$A$96,'Cons group &amp; variant assumption'!AA$88:AA$96),0)</f>
        <v>1</v>
      </c>
      <c r="Y207" s="63">
        <f>IF(Y$203&lt;=$D$69,_xlfn.XLOOKUP($H$195,'Cons group &amp; variant assumption'!$A$88:$A$96,'Cons group &amp; variant assumption'!AB$88:AB$96),0)</f>
        <v>1</v>
      </c>
      <c r="Z207" s="63">
        <f>IF(Z$203&lt;=$D$69,_xlfn.XLOOKUP($H$195,'Cons group &amp; variant assumption'!$A$88:$A$96,'Cons group &amp; variant assumption'!AC$88:AC$96),0)</f>
        <v>1</v>
      </c>
      <c r="AA207" s="63">
        <f>IF(AA$203&lt;=$D$69,_xlfn.XLOOKUP($H$195,'Cons group &amp; variant assumption'!$A$88:$A$96,'Cons group &amp; variant assumption'!AD$88:AD$96),0)</f>
        <v>1</v>
      </c>
      <c r="AB207" s="63">
        <f>IF(AB$203&lt;=$D$69,_xlfn.XLOOKUP($H$195,'Cons group &amp; variant assumption'!$A$88:$A$96,'Cons group &amp; variant assumption'!AE$88:AE$96),0)</f>
        <v>0</v>
      </c>
      <c r="AC207" s="63">
        <f>IF(AC$203&lt;=$D$69,_xlfn.XLOOKUP($H$195,'Cons group &amp; variant assumption'!$A$88:$A$96,'Cons group &amp; variant assumption'!AF$88:AF$96),0)</f>
        <v>0</v>
      </c>
      <c r="AD207" s="63">
        <f>IF(AD$203&lt;=$D$69,_xlfn.XLOOKUP($H$195,'Cons group &amp; variant assumption'!$A$88:$A$96,'Cons group &amp; variant assumption'!AG$88:AG$96),0)</f>
        <v>0</v>
      </c>
      <c r="AE207" s="63">
        <f>IF(AE$203&lt;=$D$69,_xlfn.XLOOKUP($H$195,'Cons group &amp; variant assumption'!$A$88:$A$96,'Cons group &amp; variant assumption'!AH$88:AH$96),0)</f>
        <v>0</v>
      </c>
      <c r="AF207" s="63">
        <f>IF(AF$203&lt;=$D$69,_xlfn.XLOOKUP($H$195,'Cons group &amp; variant assumption'!$A$88:$A$96,'Cons group &amp; variant assumption'!AI$88:AI$96),0)</f>
        <v>0</v>
      </c>
      <c r="AG207" s="63">
        <f>IF(AG$203&lt;=$D$69,_xlfn.XLOOKUP($H$195,'Cons group &amp; variant assumption'!$A$88:$A$96,'Cons group &amp; variant assumption'!AJ$88:AJ$96),0)</f>
        <v>0</v>
      </c>
      <c r="AH207" s="63">
        <f>IF(AH$203&lt;=$D$69,_xlfn.XLOOKUP($H$195,'Cons group &amp; variant assumption'!$A$88:$A$96,'Cons group &amp; variant assumption'!AK$88:AK$96),0)</f>
        <v>0</v>
      </c>
      <c r="AI207" s="63">
        <f>IF(AI$203&lt;=$D$69,_xlfn.XLOOKUP($H$195,'Cons group &amp; variant assumption'!$A$88:$A$96,'Cons group &amp; variant assumption'!AL$88:AL$96),0)</f>
        <v>0</v>
      </c>
      <c r="AJ207" s="63">
        <f>IF(AJ$203&lt;=$D$69,_xlfn.XLOOKUP($H$195,'Cons group &amp; variant assumption'!$A$88:$A$96,'Cons group &amp; variant assumption'!AM$88:AM$96),0)</f>
        <v>0</v>
      </c>
      <c r="AK207" s="63">
        <f>IF(AK$203&lt;=$D$69,_xlfn.XLOOKUP($H$195,'Cons group &amp; variant assumption'!$A$88:$A$96,'Cons group &amp; variant assumption'!AN$88:AN$96),0)</f>
        <v>0</v>
      </c>
      <c r="AL207" s="63">
        <f>IF(AL$203&lt;=$D$69,_xlfn.XLOOKUP($H$195,'Cons group &amp; variant assumption'!$A$88:$A$96,'Cons group &amp; variant assumption'!AO$88:AO$96),0)</f>
        <v>0</v>
      </c>
      <c r="AM207" s="63">
        <f>IF(AM$203&lt;=$D$69,_xlfn.XLOOKUP($H$195,'Cons group &amp; variant assumption'!$A$88:$A$96,'Cons group &amp; variant assumption'!AP$88:AP$96),0)</f>
        <v>0</v>
      </c>
      <c r="AN207" s="63">
        <f>IF(AN$203&lt;=$D$69,_xlfn.XLOOKUP($H$195,'Cons group &amp; variant assumption'!$A$88:$A$96,'Cons group &amp; variant assumption'!AQ$88:AQ$96),0)</f>
        <v>0</v>
      </c>
      <c r="AO207" s="63">
        <f>IF(AO$203&lt;=$D$69,_xlfn.XLOOKUP($H$195,'Cons group &amp; variant assumption'!$A$88:$A$96,'Cons group &amp; variant assumption'!AR$88:AR$96),0)</f>
        <v>0</v>
      </c>
      <c r="AP207" s="63">
        <f>IF(AP$203&lt;=$D$69,_xlfn.XLOOKUP($H$195,'Cons group &amp; variant assumption'!$A$88:$A$96,'Cons group &amp; variant assumption'!AS$88:AS$96),0)</f>
        <v>0</v>
      </c>
    </row>
    <row r="208" spans="1:42" ht="14.45" customHeight="1" outlineLevel="2" x14ac:dyDescent="0.25">
      <c r="A208" s="156" t="s">
        <v>171</v>
      </c>
      <c r="B208" s="5" t="s">
        <v>152</v>
      </c>
      <c r="C208" s="5" t="s">
        <v>144</v>
      </c>
      <c r="D208" s="223" t="s">
        <v>153</v>
      </c>
      <c r="E208" s="223"/>
      <c r="F208" s="223"/>
      <c r="G208" s="223"/>
      <c r="H208" s="223" t="s">
        <v>457</v>
      </c>
      <c r="I208" s="223"/>
      <c r="J208" s="223"/>
      <c r="K208" s="223"/>
      <c r="L208" s="63">
        <f>IF(L$203&lt;=$D$69,_xlfn.XLOOKUP($H$195,'Cons group &amp; variant assumption'!$A$120:$A$128,'Cons group &amp; variant assumption'!O$120:O$128),0)</f>
        <v>0.25</v>
      </c>
      <c r="M208" s="63">
        <f>IF(M$203&lt;=$D$69,_xlfn.XLOOKUP($H$195,'Cons group &amp; variant assumption'!$A$120:$A$128,'Cons group &amp; variant assumption'!P$120:P$128),0)</f>
        <v>1</v>
      </c>
      <c r="N208" s="63">
        <f>IF(N$203&lt;=$D$69,_xlfn.XLOOKUP($H$195,'Cons group &amp; variant assumption'!$A$120:$A$128,'Cons group &amp; variant assumption'!Q$120:Q$128),0)</f>
        <v>1</v>
      </c>
      <c r="O208" s="63">
        <f>IF(O$203&lt;=$D$69,_xlfn.XLOOKUP($H$195,'Cons group &amp; variant assumption'!$A$120:$A$128,'Cons group &amp; variant assumption'!R$120:R$128),0)</f>
        <v>1</v>
      </c>
      <c r="P208" s="63">
        <f>IF(P$203&lt;=$D$69,_xlfn.XLOOKUP($H$195,'Cons group &amp; variant assumption'!$A$120:$A$128,'Cons group &amp; variant assumption'!S$120:S$128),0)</f>
        <v>1</v>
      </c>
      <c r="Q208" s="63">
        <f>IF(Q$203&lt;=$D$69,_xlfn.XLOOKUP($H$195,'Cons group &amp; variant assumption'!$A$120:$A$128,'Cons group &amp; variant assumption'!T$120:T$128),0)</f>
        <v>1</v>
      </c>
      <c r="R208" s="63">
        <f>IF(R$203&lt;=$D$69,_xlfn.XLOOKUP($H$195,'Cons group &amp; variant assumption'!$A$120:$A$128,'Cons group &amp; variant assumption'!U$120:U$128),0)</f>
        <v>1</v>
      </c>
      <c r="S208" s="63">
        <f>IF(S$203&lt;=$D$69,_xlfn.XLOOKUP($H$195,'Cons group &amp; variant assumption'!$A$120:$A$128,'Cons group &amp; variant assumption'!V$120:V$128),0)</f>
        <v>1</v>
      </c>
      <c r="T208" s="63">
        <f>IF(T$203&lt;=$D$69,_xlfn.XLOOKUP($H$195,'Cons group &amp; variant assumption'!$A$120:$A$128,'Cons group &amp; variant assumption'!W$120:W$128),0)</f>
        <v>1</v>
      </c>
      <c r="U208" s="63">
        <f>IF(U$203&lt;=$D$69,_xlfn.XLOOKUP($H$195,'Cons group &amp; variant assumption'!$A$120:$A$128,'Cons group &amp; variant assumption'!X$120:X$128),0)</f>
        <v>1</v>
      </c>
      <c r="V208" s="63">
        <f>IF(V$203&lt;=$D$69,_xlfn.XLOOKUP($H$195,'Cons group &amp; variant assumption'!$A$120:$A$128,'Cons group &amp; variant assumption'!Y$120:Y$128),0)</f>
        <v>1</v>
      </c>
      <c r="W208" s="63">
        <f>IF(W$203&lt;=$D$69,_xlfn.XLOOKUP($H$195,'Cons group &amp; variant assumption'!$A$120:$A$128,'Cons group &amp; variant assumption'!Z$120:Z$128),0)</f>
        <v>1</v>
      </c>
      <c r="X208" s="63">
        <f>IF(X$203&lt;=$D$69,_xlfn.XLOOKUP($H$195,'Cons group &amp; variant assumption'!$A$120:$A$128,'Cons group &amp; variant assumption'!AA$120:AA$128),0)</f>
        <v>1</v>
      </c>
      <c r="Y208" s="63">
        <f>IF(Y$203&lt;=$D$69,_xlfn.XLOOKUP($H$195,'Cons group &amp; variant assumption'!$A$120:$A$128,'Cons group &amp; variant assumption'!AB$120:AB$128),0)</f>
        <v>1</v>
      </c>
      <c r="Z208" s="63">
        <f>IF(Z$203&lt;=$D$69,_xlfn.XLOOKUP($H$195,'Cons group &amp; variant assumption'!$A$120:$A$128,'Cons group &amp; variant assumption'!AC$120:AC$128),0)</f>
        <v>1</v>
      </c>
      <c r="AA208" s="63">
        <f>IF(AA$203&lt;=$D$69,_xlfn.XLOOKUP($H$195,'Cons group &amp; variant assumption'!$A$120:$A$128,'Cons group &amp; variant assumption'!AD$120:AD$128),0)</f>
        <v>1</v>
      </c>
      <c r="AB208" s="63">
        <f>IF(AB$203&lt;=$D$69,_xlfn.XLOOKUP($H$195,'Cons group &amp; variant assumption'!$A$120:$A$128,'Cons group &amp; variant assumption'!AE$120:AE$128),0)</f>
        <v>0</v>
      </c>
      <c r="AC208" s="63">
        <f>IF(AC$203&lt;=$D$69,_xlfn.XLOOKUP($H$195,'Cons group &amp; variant assumption'!$A$120:$A$128,'Cons group &amp; variant assumption'!AF$120:AF$128),0)</f>
        <v>0</v>
      </c>
      <c r="AD208" s="63">
        <f>IF(AD$203&lt;=$D$69,_xlfn.XLOOKUP($H$195,'Cons group &amp; variant assumption'!$A$120:$A$128,'Cons group &amp; variant assumption'!AG$120:AG$128),0)</f>
        <v>0</v>
      </c>
      <c r="AE208" s="63">
        <f>IF(AE$203&lt;=$D$69,_xlfn.XLOOKUP($H$195,'Cons group &amp; variant assumption'!$A$120:$A$128,'Cons group &amp; variant assumption'!AH$120:AH$128),0)</f>
        <v>0</v>
      </c>
      <c r="AF208" s="63">
        <f>IF(AF$203&lt;=$D$69,_xlfn.XLOOKUP($H$195,'Cons group &amp; variant assumption'!$A$120:$A$128,'Cons group &amp; variant assumption'!AI$120:AI$128),0)</f>
        <v>0</v>
      </c>
      <c r="AG208" s="63">
        <f>IF(AG$203&lt;=$D$69,_xlfn.XLOOKUP($H$195,'Cons group &amp; variant assumption'!$A$120:$A$128,'Cons group &amp; variant assumption'!AJ$120:AJ$128),0)</f>
        <v>0</v>
      </c>
      <c r="AH208" s="63">
        <f>IF(AH$203&lt;=$D$69,_xlfn.XLOOKUP($H$195,'Cons group &amp; variant assumption'!$A$120:$A$128,'Cons group &amp; variant assumption'!AK$120:AK$128),0)</f>
        <v>0</v>
      </c>
      <c r="AI208" s="63">
        <f>IF(AI$203&lt;=$D$69,_xlfn.XLOOKUP($H$195,'Cons group &amp; variant assumption'!$A$120:$A$128,'Cons group &amp; variant assumption'!AL$120:AL$128),0)</f>
        <v>0</v>
      </c>
      <c r="AJ208" s="63">
        <f>IF(AJ$203&lt;=$D$69,_xlfn.XLOOKUP($H$195,'Cons group &amp; variant assumption'!$A$120:$A$128,'Cons group &amp; variant assumption'!AM$120:AM$128),0)</f>
        <v>0</v>
      </c>
      <c r="AK208" s="63">
        <f>IF(AK$203&lt;=$D$69,_xlfn.XLOOKUP($H$195,'Cons group &amp; variant assumption'!$A$120:$A$128,'Cons group &amp; variant assumption'!AN$120:AN$128),0)</f>
        <v>0</v>
      </c>
      <c r="AL208" s="63">
        <f>IF(AL$203&lt;=$D$69,_xlfn.XLOOKUP($H$195,'Cons group &amp; variant assumption'!$A$120:$A$128,'Cons group &amp; variant assumption'!AO$120:AO$128),0)</f>
        <v>0</v>
      </c>
      <c r="AM208" s="63">
        <f>IF(AM$203&lt;=$D$69,_xlfn.XLOOKUP($H$195,'Cons group &amp; variant assumption'!$A$120:$A$128,'Cons group &amp; variant assumption'!AP$120:AP$128),0)</f>
        <v>0</v>
      </c>
      <c r="AN208" s="63">
        <f>IF(AN$203&lt;=$D$69,_xlfn.XLOOKUP($H$195,'Cons group &amp; variant assumption'!$A$120:$A$128,'Cons group &amp; variant assumption'!AQ$120:AQ$128),0)</f>
        <v>0</v>
      </c>
      <c r="AO208" s="63">
        <f>IF(AO$203&lt;=$D$69,_xlfn.XLOOKUP($H$195,'Cons group &amp; variant assumption'!$A$120:$A$128,'Cons group &amp; variant assumption'!AR$120:AR$128),0)</f>
        <v>0</v>
      </c>
      <c r="AP208" s="63">
        <f>IF(AP$203&lt;=$D$69,_xlfn.XLOOKUP($H$195,'Cons group &amp; variant assumption'!$A$120:$A$128,'Cons group &amp; variant assumption'!AS$120:AS$128),0)</f>
        <v>0</v>
      </c>
    </row>
    <row r="209" spans="1:42" ht="14.45" customHeight="1" outlineLevel="2" x14ac:dyDescent="0.25">
      <c r="A209" s="158" t="s">
        <v>297</v>
      </c>
      <c r="B209" s="5" t="s">
        <v>298</v>
      </c>
      <c r="C209" s="5" t="s">
        <v>35</v>
      </c>
      <c r="D209" s="223"/>
      <c r="E209" s="223"/>
      <c r="F209" s="223"/>
      <c r="G209" s="223"/>
      <c r="H209" s="223" t="s">
        <v>299</v>
      </c>
      <c r="I209" s="223"/>
      <c r="J209" s="223"/>
      <c r="K209" s="223"/>
      <c r="L209" s="26">
        <f>IF($C195='3. large connection'!$E30,'3b. ITC calcs'!L26,0)</f>
        <v>0</v>
      </c>
      <c r="M209" s="26">
        <f>IF($C195='3. large connection'!$E30,'3b. ITC calcs'!M26,0)</f>
        <v>86017.394628691574</v>
      </c>
      <c r="N209" s="26">
        <f>IF($C195='3. large connection'!$E30,'3b. ITC calcs'!N26,0)</f>
        <v>82290.455149130968</v>
      </c>
      <c r="O209" s="26">
        <f>IF($C195='3. large connection'!$E30,'3b. ITC calcs'!O26,0)</f>
        <v>78876.754251096136</v>
      </c>
      <c r="P209" s="26">
        <f>IF($C195='3. large connection'!$E30,'3b. ITC calcs'!P26,0)</f>
        <v>75531.478839077987</v>
      </c>
      <c r="Q209" s="26">
        <f>IF($C195='3. large connection'!$E30,'3b. ITC calcs'!Q26,0)</f>
        <v>152144.9901022955</v>
      </c>
      <c r="R209" s="26">
        <f>IF($C195='3. large connection'!$E30,'3b. ITC calcs'!R26,0)</f>
        <v>145147.2869601564</v>
      </c>
      <c r="S209" s="26">
        <f>IF($C195='3. large connection'!$E30,'3b. ITC calcs'!S26,0)</f>
        <v>138724.34957484124</v>
      </c>
      <c r="T209" s="26">
        <f>IF($C195='3. large connection'!$E30,'3b. ITC calcs'!T26,0)</f>
        <v>132585.634688752</v>
      </c>
      <c r="U209" s="26">
        <f>IF($C195='3. large connection'!$E30,'3b. ITC calcs'!U26,0)</f>
        <v>126718.56512353248</v>
      </c>
      <c r="V209" s="26">
        <f>IF($C195='3. large connection'!$E30,'3b. ITC calcs'!V26,0)</f>
        <v>121111.12025569382</v>
      </c>
      <c r="W209" s="26">
        <f>IF($C195='3. large connection'!$E30,'3b. ITC calcs'!W26,0)</f>
        <v>115751.81138841042</v>
      </c>
      <c r="X209" s="26">
        <f>IF($C195='3. large connection'!$E30,'3b. ITC calcs'!X26,0)</f>
        <v>110629.65821314196</v>
      </c>
      <c r="Y209" s="26">
        <f>IF($C195='3. large connection'!$E30,'3b. ITC calcs'!Y26,0)</f>
        <v>105734.16631285667</v>
      </c>
      <c r="Z209" s="26">
        <f>IF($C195='3. large connection'!$E30,'3b. ITC calcs'!Z26,0)</f>
        <v>101055.30566076335</v>
      </c>
      <c r="AA209" s="26">
        <f>IF($C195='3. large connection'!$E30,'3b. ITC calcs'!AA26,0)</f>
        <v>96583.490070499232</v>
      </c>
      <c r="AB209" s="26">
        <f>IF($C195='3. large connection'!$E30,'3b. ITC calcs'!AB26,0)</f>
        <v>0</v>
      </c>
      <c r="AC209" s="26">
        <f>IF($C195='3. large connection'!$E30,'3b. ITC calcs'!AC26,0)</f>
        <v>0</v>
      </c>
      <c r="AD209" s="26">
        <f>IF($C195='3. large connection'!$E30,'3b. ITC calcs'!AD26,0)</f>
        <v>0</v>
      </c>
      <c r="AE209" s="26">
        <f>IF($C195='3. large connection'!$E30,'3b. ITC calcs'!AE26,0)</f>
        <v>0</v>
      </c>
      <c r="AF209" s="26">
        <f>IF($C195='3. large connection'!$E30,'3b. ITC calcs'!AF26,0)</f>
        <v>0</v>
      </c>
      <c r="AG209" s="26">
        <f>IF($C195='3. large connection'!$E30,'3b. ITC calcs'!AG26,0)</f>
        <v>0</v>
      </c>
      <c r="AH209" s="26">
        <f>IF($C195='3. large connection'!$E30,'3b. ITC calcs'!AH26,0)</f>
        <v>0</v>
      </c>
      <c r="AI209" s="26">
        <f>IF($C195='3. large connection'!$E30,'3b. ITC calcs'!AI26,0)</f>
        <v>0</v>
      </c>
      <c r="AJ209" s="26">
        <f>IF($C195='3. large connection'!$E30,'3b. ITC calcs'!AJ26,0)</f>
        <v>0</v>
      </c>
      <c r="AK209" s="26">
        <f>IF($C195='3. large connection'!$E30,'3b. ITC calcs'!AK26,0)</f>
        <v>0</v>
      </c>
      <c r="AL209" s="26">
        <f>IF($C195='3. large connection'!$E30,'3b. ITC calcs'!AL26,0)</f>
        <v>0</v>
      </c>
      <c r="AM209" s="26">
        <f>IF($C195='3. large connection'!$E30,'3b. ITC calcs'!AM26,0)</f>
        <v>0</v>
      </c>
      <c r="AN209" s="26">
        <f>IF($C195='3. large connection'!$E30,'3b. ITC calcs'!AN26,0)</f>
        <v>0</v>
      </c>
      <c r="AO209" s="26">
        <f>IF($C195='3. large connection'!$E30,'3b. ITC calcs'!AO26,0)</f>
        <v>0</v>
      </c>
      <c r="AP209" s="26">
        <f>IF($C195='3. large connection'!$E30,'3b. ITC calcs'!AP26,0)</f>
        <v>0</v>
      </c>
    </row>
    <row r="210" spans="1:42" ht="15.75" outlineLevel="2" thickBot="1" x14ac:dyDescent="0.3">
      <c r="A210" s="156" t="s">
        <v>300</v>
      </c>
      <c r="B210" s="70" t="s">
        <v>177</v>
      </c>
      <c r="C210" s="16" t="s">
        <v>35</v>
      </c>
      <c r="D210" s="254"/>
      <c r="E210" s="254"/>
      <c r="F210" s="254"/>
      <c r="G210" s="254"/>
      <c r="H210" s="250"/>
      <c r="I210" s="250"/>
      <c r="J210" s="250"/>
      <c r="K210" s="250"/>
      <c r="L210" s="98">
        <f>$D$200*L205*L206*L207*L208+L209</f>
        <v>20000</v>
      </c>
      <c r="M210" s="98">
        <f t="shared" ref="M210:AP210" si="58">$D$200*M205*M206*M207*M208+M209</f>
        <v>173946.2869157985</v>
      </c>
      <c r="N210" s="98">
        <f t="shared" si="58"/>
        <v>167059.15566568749</v>
      </c>
      <c r="O210" s="98">
        <f t="shared" si="58"/>
        <v>161989.62292684207</v>
      </c>
      <c r="P210" s="98">
        <f t="shared" si="58"/>
        <v>156301.54823740807</v>
      </c>
      <c r="Q210" s="98">
        <f t="shared" si="58"/>
        <v>231254.83728037149</v>
      </c>
      <c r="R210" s="98">
        <f t="shared" si="58"/>
        <v>218317.42614007086</v>
      </c>
      <c r="S210" s="98">
        <f t="shared" si="58"/>
        <v>208656.62442900779</v>
      </c>
      <c r="T210" s="98">
        <f t="shared" si="58"/>
        <v>199423.32450445165</v>
      </c>
      <c r="U210" s="98">
        <f t="shared" si="58"/>
        <v>190598.60891183378</v>
      </c>
      <c r="V210" s="98">
        <f t="shared" si="58"/>
        <v>182164.39731609839</v>
      </c>
      <c r="W210" s="98">
        <f t="shared" si="58"/>
        <v>174103.40945818444</v>
      </c>
      <c r="X210" s="98">
        <f t="shared" si="58"/>
        <v>166399.12975072584</v>
      </c>
      <c r="Y210" s="98">
        <f t="shared" si="58"/>
        <v>159035.77344043372</v>
      </c>
      <c r="Z210" s="98">
        <f t="shared" si="58"/>
        <v>151998.25426783308</v>
      </c>
      <c r="AA210" s="98">
        <f t="shared" si="58"/>
        <v>145272.15355809336</v>
      </c>
      <c r="AB210" s="98">
        <f t="shared" si="58"/>
        <v>0</v>
      </c>
      <c r="AC210" s="98">
        <f t="shared" si="58"/>
        <v>0</v>
      </c>
      <c r="AD210" s="98">
        <f t="shared" si="58"/>
        <v>0</v>
      </c>
      <c r="AE210" s="98">
        <f t="shared" si="58"/>
        <v>0</v>
      </c>
      <c r="AF210" s="98">
        <f t="shared" si="58"/>
        <v>0</v>
      </c>
      <c r="AG210" s="98">
        <f t="shared" si="58"/>
        <v>0</v>
      </c>
      <c r="AH210" s="98">
        <f t="shared" si="58"/>
        <v>0</v>
      </c>
      <c r="AI210" s="98">
        <f t="shared" si="58"/>
        <v>0</v>
      </c>
      <c r="AJ210" s="98">
        <f t="shared" si="58"/>
        <v>0</v>
      </c>
      <c r="AK210" s="98">
        <f t="shared" si="58"/>
        <v>0</v>
      </c>
      <c r="AL210" s="98">
        <f t="shared" si="58"/>
        <v>0</v>
      </c>
      <c r="AM210" s="98">
        <f t="shared" si="58"/>
        <v>0</v>
      </c>
      <c r="AN210" s="98">
        <f t="shared" si="58"/>
        <v>0</v>
      </c>
      <c r="AO210" s="98">
        <f t="shared" si="58"/>
        <v>0</v>
      </c>
      <c r="AP210" s="98">
        <f t="shared" si="58"/>
        <v>0</v>
      </c>
    </row>
    <row r="211" spans="1:42" ht="15.75" outlineLevel="2" thickTop="1" x14ac:dyDescent="0.25">
      <c r="A211" s="4"/>
    </row>
    <row r="212" spans="1:42" outlineLevel="2" x14ac:dyDescent="0.25">
      <c r="A212" s="4"/>
      <c r="B212" s="6" t="s">
        <v>178</v>
      </c>
      <c r="C212" s="6" t="s">
        <v>61</v>
      </c>
      <c r="D212" s="39" t="str">
        <f>$C$195</f>
        <v>Variant 3b</v>
      </c>
      <c r="E212" s="225" t="s">
        <v>32</v>
      </c>
      <c r="F212" s="225"/>
      <c r="G212" s="225"/>
      <c r="H212" s="225"/>
      <c r="I212" s="225"/>
      <c r="J212" s="225"/>
      <c r="K212" s="225"/>
      <c r="L212" s="225" t="s">
        <v>33</v>
      </c>
      <c r="M212" s="225"/>
      <c r="N212" s="225"/>
      <c r="O212" s="225"/>
      <c r="P212" s="225"/>
      <c r="Q212" s="225"/>
      <c r="R212" s="225"/>
    </row>
    <row r="213" spans="1:42" outlineLevel="2" x14ac:dyDescent="0.25">
      <c r="A213" s="4"/>
      <c r="B213" s="6" t="s">
        <v>179</v>
      </c>
      <c r="C213" s="6" t="s">
        <v>35</v>
      </c>
      <c r="D213" s="65">
        <f>SUM(L210:AP210)</f>
        <v>2706520.5528028402</v>
      </c>
      <c r="E213" s="251" t="s">
        <v>157</v>
      </c>
      <c r="F213" s="252"/>
      <c r="G213" s="252"/>
      <c r="H213" s="252"/>
      <c r="I213" s="252"/>
      <c r="J213" s="252"/>
      <c r="K213" s="253"/>
      <c r="L213" s="226"/>
      <c r="M213" s="226"/>
      <c r="N213" s="226"/>
      <c r="O213" s="226"/>
      <c r="P213" s="226"/>
      <c r="Q213" s="226"/>
      <c r="R213" s="226"/>
    </row>
    <row r="214" spans="1:42" outlineLevel="2" x14ac:dyDescent="0.25">
      <c r="A214" s="4"/>
    </row>
    <row r="215" spans="1:42" s="73" customFormat="1" ht="18" thickBot="1" x14ac:dyDescent="0.35">
      <c r="A215" s="73" t="s">
        <v>232</v>
      </c>
    </row>
    <row r="216" spans="1:42" ht="15.75" outlineLevel="1" thickTop="1" x14ac:dyDescent="0.25">
      <c r="A216" s="4"/>
    </row>
    <row r="217" spans="1:42" s="9" customFormat="1" ht="15.75" outlineLevel="1" thickBot="1" x14ac:dyDescent="0.3">
      <c r="A217" s="9" t="s">
        <v>180</v>
      </c>
    </row>
    <row r="218" spans="1:42" outlineLevel="2" x14ac:dyDescent="0.25"/>
    <row r="219" spans="1:42" outlineLevel="2" x14ac:dyDescent="0.25">
      <c r="B219" s="8"/>
      <c r="C219" s="6" t="s">
        <v>61</v>
      </c>
      <c r="D219" s="39" t="str">
        <f>"Variant"&amp;" "&amp;$A$17</f>
        <v>Variant 3a</v>
      </c>
      <c r="E219" s="39" t="str">
        <f>"Variant"&amp;" "&amp;$A$18</f>
        <v>Variant 3b</v>
      </c>
      <c r="F219" s="39" t="str">
        <f>"Variant"&amp;" "&amp;$A$19</f>
        <v>Variant 3c</v>
      </c>
      <c r="G219" s="39" t="str">
        <f>"Variant"&amp;" "&amp;$A$20</f>
        <v>Variant 3d</v>
      </c>
      <c r="H219" s="225" t="s">
        <v>32</v>
      </c>
      <c r="I219" s="225"/>
      <c r="J219" s="225"/>
      <c r="K219" s="225"/>
      <c r="L219" s="225"/>
      <c r="M219" s="225" t="s">
        <v>33</v>
      </c>
      <c r="N219" s="225"/>
      <c r="O219" s="225"/>
      <c r="P219" s="225"/>
      <c r="Q219" s="225"/>
      <c r="R219" s="225"/>
    </row>
    <row r="220" spans="1:42" outlineLevel="2" x14ac:dyDescent="0.25">
      <c r="A220" s="156"/>
      <c r="B220" s="2" t="s">
        <v>47</v>
      </c>
      <c r="C220" s="5" t="s">
        <v>35</v>
      </c>
      <c r="D220" s="26">
        <f>D79</f>
        <v>2144000</v>
      </c>
      <c r="E220" s="26">
        <f>E79</f>
        <v>3289337.2073019212</v>
      </c>
      <c r="F220" s="26">
        <f>F79</f>
        <v>1884000</v>
      </c>
      <c r="G220" s="26">
        <f>G79</f>
        <v>2164000</v>
      </c>
      <c r="H220" s="226"/>
      <c r="I220" s="226"/>
      <c r="J220" s="226"/>
      <c r="K220" s="226"/>
      <c r="L220" s="226"/>
      <c r="M220" s="236"/>
      <c r="N220" s="237"/>
      <c r="O220" s="237"/>
      <c r="P220" s="237"/>
      <c r="Q220" s="237"/>
      <c r="R220" s="238"/>
    </row>
    <row r="221" spans="1:42" outlineLevel="2" x14ac:dyDescent="0.25">
      <c r="A221" s="156" t="s">
        <v>38</v>
      </c>
      <c r="B221" s="2" t="s">
        <v>34</v>
      </c>
      <c r="C221" s="5" t="s">
        <v>35</v>
      </c>
      <c r="D221" s="26">
        <f>D94</f>
        <v>2255120.8316294411</v>
      </c>
      <c r="E221" s="26">
        <f>E94</f>
        <v>6619822.9273563847</v>
      </c>
      <c r="F221" s="26">
        <f>F94</f>
        <v>1995120.8316294411</v>
      </c>
      <c r="G221" s="26">
        <f>G94</f>
        <v>2275120.8316294411</v>
      </c>
      <c r="H221" s="226"/>
      <c r="I221" s="226"/>
      <c r="J221" s="226"/>
      <c r="K221" s="226"/>
      <c r="L221" s="226"/>
      <c r="M221" s="236"/>
      <c r="N221" s="237"/>
      <c r="O221" s="237"/>
      <c r="P221" s="237"/>
      <c r="Q221" s="237"/>
      <c r="R221" s="238"/>
    </row>
    <row r="222" spans="1:42" outlineLevel="2" x14ac:dyDescent="0.25">
      <c r="A222" s="156" t="s">
        <v>42</v>
      </c>
      <c r="B222" s="2" t="s">
        <v>159</v>
      </c>
      <c r="C222" s="5" t="s">
        <v>35</v>
      </c>
      <c r="D222" s="154">
        <f>D155</f>
        <v>2981334.6620994695</v>
      </c>
      <c r="E222" s="154">
        <f>E155</f>
        <v>6774889.5220570862</v>
      </c>
      <c r="F222" s="154">
        <f>F155</f>
        <v>2923023.1649840022</v>
      </c>
      <c r="G222" s="154">
        <f>G155</f>
        <v>2981334.6620994695</v>
      </c>
      <c r="H222" s="226"/>
      <c r="I222" s="226"/>
      <c r="J222" s="226"/>
      <c r="K222" s="226"/>
      <c r="L222" s="226"/>
      <c r="M222" s="236"/>
      <c r="N222" s="237"/>
      <c r="O222" s="237"/>
      <c r="P222" s="237"/>
      <c r="Q222" s="237"/>
      <c r="R222" s="238"/>
    </row>
    <row r="223" spans="1:42" ht="15.75" outlineLevel="2" thickBot="1" x14ac:dyDescent="0.3">
      <c r="A223" s="156" t="s">
        <v>46</v>
      </c>
      <c r="B223" s="17" t="s">
        <v>43</v>
      </c>
      <c r="C223" s="49" t="s">
        <v>35</v>
      </c>
      <c r="D223" s="98">
        <f>D220-D221+D222</f>
        <v>2870213.8304700283</v>
      </c>
      <c r="E223" s="98">
        <f t="shared" ref="E223:G223" si="59">E220-E221+E222</f>
        <v>3444403.8020026227</v>
      </c>
      <c r="F223" s="98">
        <f t="shared" si="59"/>
        <v>2811902.3333545611</v>
      </c>
      <c r="G223" s="98">
        <f t="shared" si="59"/>
        <v>2870213.8304700283</v>
      </c>
      <c r="H223" s="226"/>
      <c r="I223" s="226"/>
      <c r="J223" s="226"/>
      <c r="K223" s="226"/>
      <c r="L223" s="226"/>
      <c r="M223" s="236"/>
      <c r="N223" s="237"/>
      <c r="O223" s="237"/>
      <c r="P223" s="237"/>
      <c r="Q223" s="237"/>
      <c r="R223" s="238"/>
    </row>
    <row r="224" spans="1:42" ht="15.75" outlineLevel="2" thickTop="1" x14ac:dyDescent="0.25"/>
    <row r="225" outlineLevel="1" x14ac:dyDescent="0.25"/>
  </sheetData>
  <dataConsolidate/>
  <mergeCells count="231">
    <mergeCell ref="B12:R12"/>
    <mergeCell ref="B8:I8"/>
    <mergeCell ref="K8:R8"/>
    <mergeCell ref="H122:L122"/>
    <mergeCell ref="H127:L127"/>
    <mergeCell ref="H128:L128"/>
    <mergeCell ref="H74:K74"/>
    <mergeCell ref="H36:L36"/>
    <mergeCell ref="H37:L37"/>
    <mergeCell ref="H38:L38"/>
    <mergeCell ref="H39:L39"/>
    <mergeCell ref="B28:G28"/>
    <mergeCell ref="H30:L30"/>
    <mergeCell ref="M86:R86"/>
    <mergeCell ref="M87:R87"/>
    <mergeCell ref="M88:R88"/>
    <mergeCell ref="M89:R89"/>
    <mergeCell ref="M94:R94"/>
    <mergeCell ref="H99:L99"/>
    <mergeCell ref="H102:L102"/>
    <mergeCell ref="H51:L51"/>
    <mergeCell ref="H52:L52"/>
    <mergeCell ref="H53:L53"/>
    <mergeCell ref="H54:L54"/>
    <mergeCell ref="H223:L223"/>
    <mergeCell ref="M219:R219"/>
    <mergeCell ref="D181:G181"/>
    <mergeCell ref="D182:G182"/>
    <mergeCell ref="M153:R153"/>
    <mergeCell ref="M154:R154"/>
    <mergeCell ref="E70:K70"/>
    <mergeCell ref="L70:R70"/>
    <mergeCell ref="L68:R68"/>
    <mergeCell ref="E68:K68"/>
    <mergeCell ref="E69:K69"/>
    <mergeCell ref="L69:R69"/>
    <mergeCell ref="D72:G72"/>
    <mergeCell ref="H72:K72"/>
    <mergeCell ref="D73:G73"/>
    <mergeCell ref="H73:K73"/>
    <mergeCell ref="D74:G74"/>
    <mergeCell ref="H116:L116"/>
    <mergeCell ref="H100:L100"/>
    <mergeCell ref="H112:L112"/>
    <mergeCell ref="H113:L113"/>
    <mergeCell ref="H114:L114"/>
    <mergeCell ref="H120:L120"/>
    <mergeCell ref="H121:L121"/>
    <mergeCell ref="M220:R220"/>
    <mergeCell ref="M221:R221"/>
    <mergeCell ref="M222:R222"/>
    <mergeCell ref="H221:L221"/>
    <mergeCell ref="H222:L222"/>
    <mergeCell ref="E200:K200"/>
    <mergeCell ref="L200:R200"/>
    <mergeCell ref="D185:G185"/>
    <mergeCell ref="H185:K185"/>
    <mergeCell ref="D186:G186"/>
    <mergeCell ref="H186:K186"/>
    <mergeCell ref="E188:K188"/>
    <mergeCell ref="L188:R188"/>
    <mergeCell ref="H219:L219"/>
    <mergeCell ref="L202:AP202"/>
    <mergeCell ref="D203:G203"/>
    <mergeCell ref="H203:K203"/>
    <mergeCell ref="M164:R164"/>
    <mergeCell ref="H162:L162"/>
    <mergeCell ref="M122:R122"/>
    <mergeCell ref="H152:L152"/>
    <mergeCell ref="E145:K145"/>
    <mergeCell ref="D141:G141"/>
    <mergeCell ref="H141:K141"/>
    <mergeCell ref="D142:G142"/>
    <mergeCell ref="H142:K142"/>
    <mergeCell ref="D143:G143"/>
    <mergeCell ref="H143:K143"/>
    <mergeCell ref="L138:AP138"/>
    <mergeCell ref="D139:G139"/>
    <mergeCell ref="H139:K139"/>
    <mergeCell ref="D140:G140"/>
    <mergeCell ref="H140:K140"/>
    <mergeCell ref="M127:R127"/>
    <mergeCell ref="M128:R128"/>
    <mergeCell ref="M129:R129"/>
    <mergeCell ref="M155:R155"/>
    <mergeCell ref="M162:R162"/>
    <mergeCell ref="D183:G183"/>
    <mergeCell ref="H183:K183"/>
    <mergeCell ref="D184:G184"/>
    <mergeCell ref="H210:K210"/>
    <mergeCell ref="E212:K212"/>
    <mergeCell ref="L212:R212"/>
    <mergeCell ref="E213:K213"/>
    <mergeCell ref="L213:R213"/>
    <mergeCell ref="D206:G206"/>
    <mergeCell ref="H206:K206"/>
    <mergeCell ref="D207:G207"/>
    <mergeCell ref="H207:K207"/>
    <mergeCell ref="D208:G208"/>
    <mergeCell ref="H208:K208"/>
    <mergeCell ref="H184:K184"/>
    <mergeCell ref="D209:G209"/>
    <mergeCell ref="H209:K209"/>
    <mergeCell ref="H58:L58"/>
    <mergeCell ref="H59:L59"/>
    <mergeCell ref="H60:L60"/>
    <mergeCell ref="H61:L61"/>
    <mergeCell ref="H31:L31"/>
    <mergeCell ref="H32:L32"/>
    <mergeCell ref="H33:L33"/>
    <mergeCell ref="H34:L34"/>
    <mergeCell ref="H90:L90"/>
    <mergeCell ref="H91:L91"/>
    <mergeCell ref="H92:L92"/>
    <mergeCell ref="H93:L93"/>
    <mergeCell ref="H94:L94"/>
    <mergeCell ref="M90:R90"/>
    <mergeCell ref="M91:R91"/>
    <mergeCell ref="M92:R92"/>
    <mergeCell ref="M93:R93"/>
    <mergeCell ref="H41:L41"/>
    <mergeCell ref="H46:L46"/>
    <mergeCell ref="H42:L42"/>
    <mergeCell ref="H43:L43"/>
    <mergeCell ref="H44:L44"/>
    <mergeCell ref="H47:L47"/>
    <mergeCell ref="M47:R47"/>
    <mergeCell ref="H65:L65"/>
    <mergeCell ref="H78:L78"/>
    <mergeCell ref="H85:L85"/>
    <mergeCell ref="H66:L66"/>
    <mergeCell ref="H79:L79"/>
    <mergeCell ref="H86:L86"/>
    <mergeCell ref="H87:L87"/>
    <mergeCell ref="H88:L88"/>
    <mergeCell ref="H89:L89"/>
    <mergeCell ref="M30:R30"/>
    <mergeCell ref="M31:R31"/>
    <mergeCell ref="M36:R36"/>
    <mergeCell ref="M41:R41"/>
    <mergeCell ref="M46:R46"/>
    <mergeCell ref="M32:R32"/>
    <mergeCell ref="M33:R33"/>
    <mergeCell ref="M34:R34"/>
    <mergeCell ref="M37:R37"/>
    <mergeCell ref="M38:R38"/>
    <mergeCell ref="M39:R39"/>
    <mergeCell ref="M42:R42"/>
    <mergeCell ref="M43:R43"/>
    <mergeCell ref="M44:R44"/>
    <mergeCell ref="M51:R51"/>
    <mergeCell ref="M58:R58"/>
    <mergeCell ref="M65:R65"/>
    <mergeCell ref="M78:R78"/>
    <mergeCell ref="M85:R85"/>
    <mergeCell ref="M52:R52"/>
    <mergeCell ref="M53:R53"/>
    <mergeCell ref="M54:R54"/>
    <mergeCell ref="M59:R59"/>
    <mergeCell ref="M60:R60"/>
    <mergeCell ref="M61:R61"/>
    <mergeCell ref="M66:R66"/>
    <mergeCell ref="M79:R79"/>
    <mergeCell ref="M99:R99"/>
    <mergeCell ref="M102:R102"/>
    <mergeCell ref="M109:R109"/>
    <mergeCell ref="M116:R116"/>
    <mergeCell ref="M126:R126"/>
    <mergeCell ref="H109:L109"/>
    <mergeCell ref="H103:L103"/>
    <mergeCell ref="H104:L104"/>
    <mergeCell ref="H105:L105"/>
    <mergeCell ref="H106:L106"/>
    <mergeCell ref="H107:L107"/>
    <mergeCell ref="M118:R118"/>
    <mergeCell ref="M119:R119"/>
    <mergeCell ref="M120:R120"/>
    <mergeCell ref="H110:L110"/>
    <mergeCell ref="H111:L111"/>
    <mergeCell ref="H126:L126"/>
    <mergeCell ref="H117:L117"/>
    <mergeCell ref="H118:L118"/>
    <mergeCell ref="H119:L119"/>
    <mergeCell ref="M165:R165"/>
    <mergeCell ref="M166:R166"/>
    <mergeCell ref="M100:R100"/>
    <mergeCell ref="M103:R107"/>
    <mergeCell ref="M110:R112"/>
    <mergeCell ref="M113:R114"/>
    <mergeCell ref="M117:R117"/>
    <mergeCell ref="M121:R121"/>
    <mergeCell ref="L136:R136"/>
    <mergeCell ref="H164:L164"/>
    <mergeCell ref="H161:L161"/>
    <mergeCell ref="H129:L129"/>
    <mergeCell ref="H153:L153"/>
    <mergeCell ref="H154:L154"/>
    <mergeCell ref="H155:L155"/>
    <mergeCell ref="B131:R131"/>
    <mergeCell ref="E135:K135"/>
    <mergeCell ref="L135:R135"/>
    <mergeCell ref="E136:K136"/>
    <mergeCell ref="L145:R145"/>
    <mergeCell ref="E146:K146"/>
    <mergeCell ref="L146:R146"/>
    <mergeCell ref="M152:R152"/>
    <mergeCell ref="M161:R161"/>
    <mergeCell ref="M223:R223"/>
    <mergeCell ref="B193:R193"/>
    <mergeCell ref="B170:R170"/>
    <mergeCell ref="H165:L165"/>
    <mergeCell ref="H166:L166"/>
    <mergeCell ref="H220:L220"/>
    <mergeCell ref="H181:K181"/>
    <mergeCell ref="H182:K182"/>
    <mergeCell ref="D210:G210"/>
    <mergeCell ref="D204:G204"/>
    <mergeCell ref="H204:K204"/>
    <mergeCell ref="D205:G205"/>
    <mergeCell ref="H205:K205"/>
    <mergeCell ref="E189:K189"/>
    <mergeCell ref="L189:R189"/>
    <mergeCell ref="E199:K199"/>
    <mergeCell ref="L199:R199"/>
    <mergeCell ref="L179:AP179"/>
    <mergeCell ref="D180:G180"/>
    <mergeCell ref="H180:K180"/>
    <mergeCell ref="E176:K176"/>
    <mergeCell ref="L176:R176"/>
    <mergeCell ref="E177:K177"/>
    <mergeCell ref="L177:R177"/>
  </mergeCells>
  <conditionalFormatting sqref="D47:G47 D48:J48">
    <cfRule type="cellIs" dxfId="5" priority="5" operator="equal">
      <formula>"pass"</formula>
    </cfRule>
    <cfRule type="cellIs" dxfId="4" priority="6" operator="equal">
      <formula>"fail"</formula>
    </cfRule>
  </conditionalFormatting>
  <conditionalFormatting sqref="D50:J50">
    <cfRule type="cellIs" dxfId="3" priority="1" operator="equal">
      <formula>"pass"</formula>
    </cfRule>
    <cfRule type="cellIs" dxfId="2" priority="2" operator="equal">
      <formula>"fail"</formula>
    </cfRule>
  </conditionalFormatting>
  <conditionalFormatting sqref="D57:J57">
    <cfRule type="cellIs" dxfId="1" priority="3" operator="equal">
      <formula>"pass"</formula>
    </cfRule>
    <cfRule type="cellIs" dxfId="0" priority="4" operator="equal">
      <formula>"fail"</formula>
    </cfRule>
  </conditionalFormatting>
  <dataValidations count="2">
    <dataValidation type="list" allowBlank="1" showInputMessage="1" showErrorMessage="1" sqref="C139 C22:C23" xr:uid="{89EE4D73-ABB0-4F2F-9A8F-0077A7EC633F}">
      <formula1>$D$30:$G$30</formula1>
    </dataValidation>
    <dataValidation allowBlank="1" showInputMessage="1" showErrorMessage="1" sqref="C195" xr:uid="{7B8EE79F-166B-4C02-A464-92FC7382025A}"/>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0965FBA-EA78-475A-BE27-E2AB7E8B078B}">
          <x14:formula1>
            <xm:f>'Network costing zones'!$D$4:$F$4</xm:f>
          </x14:formula1>
          <xm:sqref>C101 D100:G100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B1ED-9680-41FA-87B2-0A08327C8501}">
  <dimension ref="A1:AA49"/>
  <sheetViews>
    <sheetView zoomScale="60" zoomScaleNormal="60" workbookViewId="0">
      <selection activeCell="F40" sqref="F40"/>
    </sheetView>
  </sheetViews>
  <sheetFormatPr defaultColWidth="8.85546875" defaultRowHeight="15" outlineLevelRow="3" x14ac:dyDescent="0.25"/>
  <cols>
    <col min="1" max="1" width="8.85546875" style="2"/>
    <col min="2" max="2" width="42.140625" style="2" customWidth="1"/>
    <col min="3" max="3" width="10.85546875" style="2" customWidth="1"/>
    <col min="4" max="27" width="18.85546875" style="2" customWidth="1"/>
    <col min="28" max="16384" width="8.85546875" style="2"/>
  </cols>
  <sheetData>
    <row r="1" spans="1:27" s="1" customFormat="1" ht="20.25" thickBot="1" x14ac:dyDescent="0.35">
      <c r="A1" s="1" t="s">
        <v>301</v>
      </c>
      <c r="G1" s="1" t="s">
        <v>302</v>
      </c>
      <c r="H1" s="201" t="s">
        <v>2</v>
      </c>
      <c r="I1" s="202" t="s">
        <v>3</v>
      </c>
      <c r="J1" s="203" t="s">
        <v>4</v>
      </c>
      <c r="K1" s="204" t="s">
        <v>5</v>
      </c>
      <c r="L1" s="200" t="s">
        <v>303</v>
      </c>
    </row>
    <row r="2" spans="1:27" ht="15.75" thickTop="1" x14ac:dyDescent="0.25"/>
    <row r="3" spans="1:27" s="9" customFormat="1" ht="15.75" outlineLevel="1" thickBot="1" x14ac:dyDescent="0.3">
      <c r="A3" s="9" t="s">
        <v>304</v>
      </c>
    </row>
    <row r="5" spans="1:27" outlineLevel="3" x14ac:dyDescent="0.25">
      <c r="B5" s="6"/>
      <c r="C5" s="6" t="s">
        <v>61</v>
      </c>
      <c r="D5" s="225" t="s">
        <v>32</v>
      </c>
      <c r="E5" s="225"/>
      <c r="F5" s="225"/>
      <c r="G5" s="225"/>
      <c r="H5" s="225" t="s">
        <v>33</v>
      </c>
      <c r="I5" s="225"/>
      <c r="J5" s="225"/>
      <c r="K5" s="225"/>
      <c r="L5" s="6">
        <v>0</v>
      </c>
      <c r="M5" s="6">
        <v>1</v>
      </c>
      <c r="N5" s="6">
        <v>2</v>
      </c>
      <c r="O5" s="6">
        <v>3</v>
      </c>
      <c r="P5" s="6">
        <v>4</v>
      </c>
      <c r="Q5" s="6">
        <v>5</v>
      </c>
      <c r="R5" s="6">
        <v>6</v>
      </c>
      <c r="S5" s="6">
        <v>7</v>
      </c>
      <c r="T5" s="6">
        <v>8</v>
      </c>
      <c r="U5" s="6">
        <v>9</v>
      </c>
      <c r="V5" s="6">
        <v>10</v>
      </c>
      <c r="W5" s="6">
        <v>11</v>
      </c>
      <c r="X5" s="6">
        <v>12</v>
      </c>
      <c r="Y5" s="6">
        <v>13</v>
      </c>
      <c r="Z5" s="6">
        <v>14</v>
      </c>
      <c r="AA5" s="6">
        <v>15</v>
      </c>
    </row>
    <row r="6" spans="1:27" outlineLevel="3" x14ac:dyDescent="0.25">
      <c r="B6" s="5" t="s">
        <v>140</v>
      </c>
      <c r="C6" s="5" t="s">
        <v>141</v>
      </c>
      <c r="D6" s="223" t="s">
        <v>193</v>
      </c>
      <c r="E6" s="223"/>
      <c r="F6" s="223"/>
      <c r="G6" s="223"/>
      <c r="H6" s="223"/>
      <c r="I6" s="223"/>
      <c r="J6" s="223"/>
      <c r="K6" s="223"/>
      <c r="L6" s="95">
        <v>2026</v>
      </c>
      <c r="M6" s="45">
        <f>L6+1</f>
        <v>2027</v>
      </c>
      <c r="N6" s="45">
        <f t="shared" ref="N6:AA6" si="0">M6+1</f>
        <v>2028</v>
      </c>
      <c r="O6" s="45">
        <f t="shared" si="0"/>
        <v>2029</v>
      </c>
      <c r="P6" s="45">
        <f t="shared" si="0"/>
        <v>2030</v>
      </c>
      <c r="Q6" s="45">
        <f t="shared" si="0"/>
        <v>2031</v>
      </c>
      <c r="R6" s="45">
        <f t="shared" si="0"/>
        <v>2032</v>
      </c>
      <c r="S6" s="45">
        <f t="shared" si="0"/>
        <v>2033</v>
      </c>
      <c r="T6" s="45">
        <f t="shared" si="0"/>
        <v>2034</v>
      </c>
      <c r="U6" s="45">
        <f t="shared" si="0"/>
        <v>2035</v>
      </c>
      <c r="V6" s="45">
        <f t="shared" si="0"/>
        <v>2036</v>
      </c>
      <c r="W6" s="45">
        <f t="shared" si="0"/>
        <v>2037</v>
      </c>
      <c r="X6" s="45">
        <f t="shared" si="0"/>
        <v>2038</v>
      </c>
      <c r="Y6" s="45">
        <f t="shared" si="0"/>
        <v>2039</v>
      </c>
      <c r="Z6" s="45">
        <f t="shared" si="0"/>
        <v>2040</v>
      </c>
      <c r="AA6" s="45">
        <f t="shared" si="0"/>
        <v>2041</v>
      </c>
    </row>
    <row r="7" spans="1:27" outlineLevel="3" x14ac:dyDescent="0.25">
      <c r="B7" s="5" t="s">
        <v>143</v>
      </c>
      <c r="C7" s="5" t="s">
        <v>144</v>
      </c>
      <c r="D7" s="223" t="s">
        <v>167</v>
      </c>
      <c r="E7" s="223"/>
      <c r="F7" s="223"/>
      <c r="G7" s="223"/>
      <c r="H7" s="223" t="s">
        <v>146</v>
      </c>
      <c r="I7" s="223"/>
      <c r="J7" s="223"/>
      <c r="K7" s="223"/>
      <c r="L7" s="62">
        <v>1</v>
      </c>
      <c r="M7" s="20">
        <f>1/(1+'Distributor assumptions'!$C$7)^M$5</f>
        <v>0.95574882920768423</v>
      </c>
      <c r="N7" s="20">
        <f>1/(1+'Distributor assumptions'!$C$7)^N$5</f>
        <v>0.91345582453185914</v>
      </c>
      <c r="O7" s="20">
        <f>1/(1+'Distributor assumptions'!$C$7)^O$5</f>
        <v>0.87303433482926418</v>
      </c>
      <c r="P7" s="20">
        <f>1/(1+'Distributor assumptions'!$C$7)^P$5</f>
        <v>0.83440154337117856</v>
      </c>
      <c r="Q7" s="20">
        <f>1/(1+'Distributor assumptions'!$C$7)^Q$5</f>
        <v>0.79747829816608862</v>
      </c>
      <c r="R7" s="20">
        <f>1/(1+'Distributor assumptions'!$C$7)^R$5</f>
        <v>0.76218894979077567</v>
      </c>
      <c r="S7" s="20">
        <f>1/(1+'Distributor assumptions'!$C$7)^S$5</f>
        <v>0.72846119639756823</v>
      </c>
      <c r="T7" s="20">
        <f>1/(1+'Distributor assumptions'!$C$7)^T$5</f>
        <v>0.69622593558020462</v>
      </c>
      <c r="U7" s="20">
        <f>1/(1+'Distributor assumptions'!$C$7)^U$5</f>
        <v>0.66541712279480525</v>
      </c>
      <c r="V7" s="20">
        <f>1/(1+'Distributor assumptions'!$C$7)^V$5</f>
        <v>0.63597163604588081</v>
      </c>
      <c r="W7" s="20">
        <f>1/(1+'Distributor assumptions'!$C$7)^W$5</f>
        <v>0.60782914656014608</v>
      </c>
      <c r="X7" s="20">
        <f>1/(1+'Distributor assumptions'!$C$7)^X$5</f>
        <v>0.58093199518316552</v>
      </c>
      <c r="Y7" s="20">
        <f>1/(1+'Distributor assumptions'!$C$7)^Y$5</f>
        <v>0.55522507424559442</v>
      </c>
      <c r="Z7" s="20">
        <f>1/(1+'Distributor assumptions'!$C$7)^Z$5</f>
        <v>0.53065571465697647</v>
      </c>
      <c r="AA7" s="20">
        <f>1/(1+'Distributor assumptions'!$C$7)^AA$5</f>
        <v>0.50717357799577223</v>
      </c>
    </row>
    <row r="8" spans="1:27" x14ac:dyDescent="0.25">
      <c r="B8" s="5" t="s">
        <v>150</v>
      </c>
      <c r="C8" s="5" t="s">
        <v>144</v>
      </c>
      <c r="D8" s="226" t="s">
        <v>305</v>
      </c>
      <c r="E8" s="226"/>
      <c r="F8" s="226"/>
      <c r="G8" s="226"/>
      <c r="H8" s="226" t="s">
        <v>306</v>
      </c>
      <c r="I8" s="226"/>
      <c r="J8" s="226"/>
      <c r="K8" s="226"/>
      <c r="L8" s="35">
        <f>'Distributor assumptions'!K16</f>
        <v>1</v>
      </c>
      <c r="M8" s="35">
        <f>'Distributor assumptions'!L16</f>
        <v>1.1499999999999999</v>
      </c>
      <c r="N8" s="35">
        <f>'Distributor assumptions'!M16</f>
        <v>1.1599999999999999</v>
      </c>
      <c r="O8" s="35">
        <f>'Distributor assumptions'!N16</f>
        <v>1.19</v>
      </c>
      <c r="P8" s="35">
        <f>'Distributor assumptions'!O16</f>
        <v>1.21</v>
      </c>
      <c r="Q8" s="35">
        <f>'Distributor assumptions'!P16</f>
        <v>1.24</v>
      </c>
      <c r="R8" s="35">
        <f>'Distributor assumptions'!Q16</f>
        <v>1.2</v>
      </c>
      <c r="S8" s="35">
        <f>'Distributor assumptions'!R16</f>
        <v>1.2</v>
      </c>
      <c r="T8" s="35">
        <f>'Distributor assumptions'!S16</f>
        <v>1.2</v>
      </c>
      <c r="U8" s="35">
        <f>'Distributor assumptions'!T16</f>
        <v>1.2</v>
      </c>
      <c r="V8" s="35">
        <f>'Distributor assumptions'!U16</f>
        <v>1.2</v>
      </c>
      <c r="W8" s="35">
        <f>'Distributor assumptions'!V16</f>
        <v>1.2</v>
      </c>
      <c r="X8" s="35">
        <f>'Distributor assumptions'!W16</f>
        <v>1.2</v>
      </c>
      <c r="Y8" s="35">
        <f>'Distributor assumptions'!X16</f>
        <v>1.2</v>
      </c>
      <c r="Z8" s="35">
        <f>'Distributor assumptions'!Y16</f>
        <v>1.2</v>
      </c>
      <c r="AA8" s="35">
        <f>'Distributor assumptions'!Z16</f>
        <v>1.2</v>
      </c>
    </row>
    <row r="9" spans="1:27" x14ac:dyDescent="0.25">
      <c r="B9" s="42" t="s">
        <v>307</v>
      </c>
      <c r="C9" s="5" t="s">
        <v>35</v>
      </c>
      <c r="D9" s="223"/>
      <c r="E9" s="223"/>
      <c r="F9" s="223"/>
      <c r="G9" s="223"/>
      <c r="H9" s="223"/>
      <c r="I9" s="223"/>
      <c r="J9" s="223"/>
      <c r="K9" s="223"/>
      <c r="L9" s="5"/>
      <c r="M9" s="10">
        <v>250000</v>
      </c>
      <c r="N9" s="5"/>
      <c r="O9" s="5"/>
      <c r="P9" s="5"/>
      <c r="Q9" s="5"/>
      <c r="R9" s="5"/>
      <c r="S9" s="5"/>
      <c r="T9" s="5"/>
      <c r="U9" s="5"/>
      <c r="V9" s="5"/>
      <c r="W9" s="5"/>
      <c r="X9" s="5"/>
      <c r="Y9" s="5"/>
      <c r="Z9" s="5"/>
      <c r="AA9" s="5"/>
    </row>
    <row r="10" spans="1:27" x14ac:dyDescent="0.25">
      <c r="B10" s="42" t="s">
        <v>308</v>
      </c>
      <c r="C10" s="5" t="s">
        <v>35</v>
      </c>
      <c r="D10" s="223"/>
      <c r="E10" s="223"/>
      <c r="F10" s="223"/>
      <c r="G10" s="223"/>
      <c r="H10" s="223"/>
      <c r="I10" s="223"/>
      <c r="J10" s="223"/>
      <c r="K10" s="223"/>
      <c r="L10" s="95"/>
      <c r="M10" s="10">
        <v>10000</v>
      </c>
      <c r="N10" s="106">
        <f>M10*N8/M8</f>
        <v>10086.956521739132</v>
      </c>
      <c r="O10" s="106">
        <f t="shared" ref="O10:AA10" si="1">N10*O8/N8</f>
        <v>10347.826086956524</v>
      </c>
      <c r="P10" s="106">
        <f>O10*P8/O8</f>
        <v>10521.739130434786</v>
      </c>
      <c r="Q10" s="106">
        <f t="shared" si="1"/>
        <v>10782.608695652178</v>
      </c>
      <c r="R10" s="106">
        <f t="shared" si="1"/>
        <v>10434.782608695656</v>
      </c>
      <c r="S10" s="106">
        <f t="shared" si="1"/>
        <v>10434.782608695656</v>
      </c>
      <c r="T10" s="106">
        <f t="shared" si="1"/>
        <v>10434.782608695656</v>
      </c>
      <c r="U10" s="106">
        <f t="shared" si="1"/>
        <v>10434.782608695656</v>
      </c>
      <c r="V10" s="106">
        <f t="shared" si="1"/>
        <v>10434.782608695656</v>
      </c>
      <c r="W10" s="106">
        <f t="shared" ref="W10:X10" si="2">V10*W8/V8</f>
        <v>10434.782608695656</v>
      </c>
      <c r="X10" s="106">
        <f t="shared" si="2"/>
        <v>10434.782608695656</v>
      </c>
      <c r="Y10" s="106">
        <f t="shared" si="1"/>
        <v>10434.782608695656</v>
      </c>
      <c r="Z10" s="106">
        <f t="shared" si="1"/>
        <v>10434.782608695656</v>
      </c>
      <c r="AA10" s="106">
        <f t="shared" si="1"/>
        <v>10434.782608695656</v>
      </c>
    </row>
    <row r="11" spans="1:27" x14ac:dyDescent="0.25">
      <c r="B11" s="42" t="s">
        <v>309</v>
      </c>
      <c r="C11" s="5" t="s">
        <v>35</v>
      </c>
      <c r="D11" s="223"/>
      <c r="E11" s="223"/>
      <c r="F11" s="223"/>
      <c r="G11" s="223"/>
      <c r="H11" s="223"/>
      <c r="I11" s="223"/>
      <c r="J11" s="223"/>
      <c r="K11" s="223"/>
      <c r="L11" s="95"/>
      <c r="M11" s="10">
        <v>80000</v>
      </c>
      <c r="N11" s="26">
        <f>M11</f>
        <v>80000</v>
      </c>
      <c r="O11" s="26">
        <f t="shared" ref="O11:AA11" si="3">N11</f>
        <v>80000</v>
      </c>
      <c r="P11" s="26">
        <f t="shared" si="3"/>
        <v>80000</v>
      </c>
      <c r="Q11" s="26">
        <f t="shared" si="3"/>
        <v>80000</v>
      </c>
      <c r="R11" s="26">
        <f t="shared" si="3"/>
        <v>80000</v>
      </c>
      <c r="S11" s="26">
        <f t="shared" si="3"/>
        <v>80000</v>
      </c>
      <c r="T11" s="26">
        <f t="shared" si="3"/>
        <v>80000</v>
      </c>
      <c r="U11" s="26">
        <f t="shared" si="3"/>
        <v>80000</v>
      </c>
      <c r="V11" s="26">
        <f t="shared" si="3"/>
        <v>80000</v>
      </c>
      <c r="W11" s="26">
        <f t="shared" ref="W11:X11" si="4">V11</f>
        <v>80000</v>
      </c>
      <c r="X11" s="26">
        <f t="shared" si="4"/>
        <v>80000</v>
      </c>
      <c r="Y11" s="26">
        <f t="shared" si="3"/>
        <v>80000</v>
      </c>
      <c r="Z11" s="26">
        <f t="shared" si="3"/>
        <v>80000</v>
      </c>
      <c r="AA11" s="26">
        <f t="shared" si="3"/>
        <v>80000</v>
      </c>
    </row>
    <row r="12" spans="1:27" x14ac:dyDescent="0.25">
      <c r="B12" s="42" t="s">
        <v>310</v>
      </c>
      <c r="C12" s="5" t="s">
        <v>35</v>
      </c>
      <c r="D12" s="223"/>
      <c r="E12" s="223"/>
      <c r="F12" s="223"/>
      <c r="G12" s="223"/>
      <c r="H12" s="223"/>
      <c r="I12" s="223"/>
      <c r="J12" s="223"/>
      <c r="K12" s="223"/>
      <c r="L12" s="95"/>
      <c r="M12" s="95"/>
      <c r="N12" s="95"/>
      <c r="O12" s="95"/>
      <c r="P12" s="95"/>
      <c r="Q12" s="95">
        <v>100000</v>
      </c>
      <c r="R12" s="77">
        <f>Q12</f>
        <v>100000</v>
      </c>
      <c r="S12" s="77">
        <f t="shared" ref="S12:AA12" si="5">R12</f>
        <v>100000</v>
      </c>
      <c r="T12" s="77">
        <f t="shared" si="5"/>
        <v>100000</v>
      </c>
      <c r="U12" s="77">
        <f t="shared" si="5"/>
        <v>100000</v>
      </c>
      <c r="V12" s="77">
        <f t="shared" si="5"/>
        <v>100000</v>
      </c>
      <c r="W12" s="77">
        <f t="shared" ref="W12:X12" si="6">V12</f>
        <v>100000</v>
      </c>
      <c r="X12" s="77">
        <f t="shared" si="6"/>
        <v>100000</v>
      </c>
      <c r="Y12" s="77">
        <f t="shared" si="5"/>
        <v>100000</v>
      </c>
      <c r="Z12" s="77">
        <f t="shared" si="5"/>
        <v>100000</v>
      </c>
      <c r="AA12" s="77">
        <f t="shared" si="5"/>
        <v>100000</v>
      </c>
    </row>
    <row r="13" spans="1:27" ht="29.1" customHeight="1" thickBot="1" x14ac:dyDescent="0.3">
      <c r="B13" s="70" t="s">
        <v>311</v>
      </c>
      <c r="C13" s="49" t="s">
        <v>35</v>
      </c>
      <c r="D13" s="257"/>
      <c r="E13" s="257"/>
      <c r="F13" s="257"/>
      <c r="G13" s="257"/>
      <c r="H13" s="224"/>
      <c r="I13" s="224"/>
      <c r="J13" s="224"/>
      <c r="K13" s="224"/>
      <c r="L13" s="98">
        <f>SUM(L9:L12)*L7</f>
        <v>0</v>
      </c>
      <c r="M13" s="98">
        <f t="shared" ref="M13:AA13" si="7">SUM(M9:M12)*M7</f>
        <v>324954.60193061264</v>
      </c>
      <c r="N13" s="98">
        <f t="shared" si="7"/>
        <v>82290.455149130968</v>
      </c>
      <c r="O13" s="98">
        <f t="shared" si="7"/>
        <v>78876.754251096136</v>
      </c>
      <c r="P13" s="98">
        <f t="shared" si="7"/>
        <v>75531.478839077987</v>
      </c>
      <c r="Q13" s="98">
        <f t="shared" si="7"/>
        <v>152144.9901022955</v>
      </c>
      <c r="R13" s="98">
        <f t="shared" si="7"/>
        <v>145147.2869601564</v>
      </c>
      <c r="S13" s="98">
        <f t="shared" si="7"/>
        <v>138724.34957484124</v>
      </c>
      <c r="T13" s="98">
        <f t="shared" si="7"/>
        <v>132585.634688752</v>
      </c>
      <c r="U13" s="98">
        <f t="shared" si="7"/>
        <v>126718.56512353248</v>
      </c>
      <c r="V13" s="98">
        <f t="shared" si="7"/>
        <v>121111.12025569382</v>
      </c>
      <c r="W13" s="98">
        <f t="shared" si="7"/>
        <v>115751.81138841042</v>
      </c>
      <c r="X13" s="98">
        <f t="shared" si="7"/>
        <v>110629.65821314196</v>
      </c>
      <c r="Y13" s="98">
        <f t="shared" si="7"/>
        <v>105734.16631285667</v>
      </c>
      <c r="Z13" s="98">
        <f t="shared" si="7"/>
        <v>101055.30566076335</v>
      </c>
      <c r="AA13" s="98">
        <f t="shared" si="7"/>
        <v>96583.490070499232</v>
      </c>
    </row>
    <row r="14" spans="1:27" ht="15.75" thickTop="1" x14ac:dyDescent="0.25">
      <c r="B14" s="58"/>
      <c r="D14" s="105"/>
      <c r="E14" s="105"/>
      <c r="F14" s="105"/>
      <c r="G14" s="105"/>
      <c r="H14" s="105"/>
      <c r="I14" s="105"/>
      <c r="J14" s="105"/>
      <c r="K14" s="105"/>
      <c r="L14" s="130"/>
      <c r="M14" s="130"/>
      <c r="N14" s="130"/>
      <c r="O14" s="130"/>
      <c r="P14" s="130"/>
      <c r="Q14" s="130"/>
      <c r="R14" s="131"/>
      <c r="S14" s="131"/>
      <c r="T14" s="131"/>
      <c r="U14" s="131"/>
      <c r="V14" s="131"/>
      <c r="W14" s="131"/>
      <c r="X14" s="131"/>
      <c r="Y14" s="131"/>
      <c r="Z14" s="131"/>
      <c r="AA14" s="131"/>
    </row>
    <row r="15" spans="1:27" x14ac:dyDescent="0.25">
      <c r="B15" s="5"/>
      <c r="C15" s="6" t="s">
        <v>61</v>
      </c>
      <c r="D15" s="39" t="s">
        <v>244</v>
      </c>
      <c r="E15" s="225" t="s">
        <v>32</v>
      </c>
      <c r="F15" s="225" t="s">
        <v>79</v>
      </c>
      <c r="G15" s="225" t="s">
        <v>80</v>
      </c>
      <c r="H15" s="225"/>
      <c r="I15" s="225" t="s">
        <v>33</v>
      </c>
      <c r="J15" s="225"/>
      <c r="K15" s="225"/>
      <c r="L15" s="225"/>
      <c r="M15" s="130"/>
      <c r="N15" s="130"/>
      <c r="O15" s="130"/>
      <c r="P15" s="130"/>
      <c r="Q15" s="130"/>
      <c r="R15" s="131"/>
      <c r="S15" s="131"/>
      <c r="T15" s="131"/>
      <c r="U15" s="131"/>
      <c r="V15" s="131"/>
      <c r="W15" s="131"/>
      <c r="X15" s="131"/>
      <c r="Y15" s="131"/>
      <c r="Z15" s="131"/>
      <c r="AA15" s="131"/>
    </row>
    <row r="16" spans="1:27" x14ac:dyDescent="0.25">
      <c r="B16" s="119" t="s">
        <v>312</v>
      </c>
      <c r="C16" s="5" t="s">
        <v>35</v>
      </c>
      <c r="D16" s="106">
        <f>SUM(L13:AA13)</f>
        <v>1907839.6685208606</v>
      </c>
      <c r="E16" s="226"/>
      <c r="F16" s="226"/>
      <c r="G16" s="226"/>
      <c r="H16" s="226"/>
      <c r="I16" s="226"/>
      <c r="J16" s="226"/>
      <c r="K16" s="226"/>
      <c r="L16" s="226"/>
      <c r="M16" s="130"/>
      <c r="N16" s="130"/>
      <c r="O16" s="130"/>
      <c r="P16" s="130"/>
      <c r="Q16" s="130"/>
      <c r="R16" s="131"/>
      <c r="S16" s="131"/>
      <c r="T16" s="131"/>
      <c r="U16" s="131"/>
      <c r="V16" s="131"/>
      <c r="W16" s="131"/>
      <c r="X16" s="131"/>
      <c r="Y16" s="131"/>
      <c r="Z16" s="131"/>
      <c r="AA16" s="131"/>
    </row>
    <row r="18" spans="1:27" s="9" customFormat="1" ht="15.75" outlineLevel="1" thickBot="1" x14ac:dyDescent="0.3">
      <c r="A18" s="9" t="s">
        <v>313</v>
      </c>
    </row>
    <row r="20" spans="1:27" x14ac:dyDescent="0.25">
      <c r="B20" s="5"/>
      <c r="C20" s="6" t="s">
        <v>61</v>
      </c>
      <c r="D20" s="39" t="s">
        <v>244</v>
      </c>
      <c r="E20" s="225" t="s">
        <v>32</v>
      </c>
      <c r="F20" s="225" t="s">
        <v>79</v>
      </c>
      <c r="G20" s="225" t="s">
        <v>80</v>
      </c>
      <c r="H20" s="225"/>
      <c r="I20" s="225" t="s">
        <v>33</v>
      </c>
      <c r="J20" s="225"/>
      <c r="K20" s="225"/>
      <c r="L20" s="225"/>
    </row>
    <row r="21" spans="1:27" x14ac:dyDescent="0.25">
      <c r="B21" s="5" t="s">
        <v>314</v>
      </c>
      <c r="C21" s="5" t="s">
        <v>35</v>
      </c>
      <c r="D21" s="106">
        <f>M9*M7</f>
        <v>238937.20730192107</v>
      </c>
      <c r="E21" s="226"/>
      <c r="F21" s="226"/>
      <c r="G21" s="226"/>
      <c r="H21" s="226"/>
      <c r="I21" s="226"/>
      <c r="J21" s="226"/>
      <c r="K21" s="226"/>
      <c r="L21" s="226"/>
    </row>
    <row r="23" spans="1:27" s="9" customFormat="1" ht="15.75" outlineLevel="1" thickBot="1" x14ac:dyDescent="0.3">
      <c r="A23" s="9" t="s">
        <v>315</v>
      </c>
    </row>
    <row r="25" spans="1:27" x14ac:dyDescent="0.25">
      <c r="B25" s="5"/>
      <c r="C25" s="6" t="s">
        <v>61</v>
      </c>
      <c r="D25" s="225" t="s">
        <v>32</v>
      </c>
      <c r="E25" s="225"/>
      <c r="F25" s="225"/>
      <c r="G25" s="225"/>
      <c r="H25" s="225" t="s">
        <v>33</v>
      </c>
      <c r="I25" s="225"/>
      <c r="J25" s="225"/>
      <c r="K25" s="225"/>
      <c r="L25" s="6">
        <v>0</v>
      </c>
      <c r="M25" s="6">
        <v>1</v>
      </c>
      <c r="N25" s="6">
        <v>2</v>
      </c>
      <c r="O25" s="6">
        <v>3</v>
      </c>
      <c r="P25" s="6">
        <v>4</v>
      </c>
      <c r="Q25" s="6">
        <v>5</v>
      </c>
      <c r="R25" s="6">
        <v>6</v>
      </c>
      <c r="S25" s="6">
        <v>7</v>
      </c>
      <c r="T25" s="6">
        <v>8</v>
      </c>
      <c r="U25" s="6">
        <v>9</v>
      </c>
      <c r="V25" s="6">
        <v>10</v>
      </c>
      <c r="W25" s="6">
        <v>11</v>
      </c>
      <c r="X25" s="6">
        <v>12</v>
      </c>
      <c r="Y25" s="6">
        <v>13</v>
      </c>
      <c r="Z25" s="6">
        <v>14</v>
      </c>
      <c r="AA25" s="6">
        <v>15</v>
      </c>
    </row>
    <row r="26" spans="1:27" ht="29.1" customHeight="1" x14ac:dyDescent="0.25">
      <c r="B26" s="119" t="s">
        <v>316</v>
      </c>
      <c r="C26" s="5" t="s">
        <v>35</v>
      </c>
      <c r="D26" s="223"/>
      <c r="E26" s="223"/>
      <c r="F26" s="223"/>
      <c r="G26" s="223"/>
      <c r="H26" s="223"/>
      <c r="I26" s="223"/>
      <c r="J26" s="223"/>
      <c r="K26" s="223"/>
      <c r="L26" s="106">
        <f>SUM(L10:L12)*L7</f>
        <v>0</v>
      </c>
      <c r="M26" s="106">
        <f>SUM(M10:M12)*M7</f>
        <v>86017.394628691574</v>
      </c>
      <c r="N26" s="106">
        <f t="shared" ref="N26:AA26" si="8">SUM(N10:N12)*N7</f>
        <v>82290.455149130968</v>
      </c>
      <c r="O26" s="106">
        <f t="shared" si="8"/>
        <v>78876.754251096136</v>
      </c>
      <c r="P26" s="106">
        <f t="shared" si="8"/>
        <v>75531.478839077987</v>
      </c>
      <c r="Q26" s="106">
        <f t="shared" si="8"/>
        <v>152144.9901022955</v>
      </c>
      <c r="R26" s="106">
        <f t="shared" si="8"/>
        <v>145147.2869601564</v>
      </c>
      <c r="S26" s="106">
        <f t="shared" si="8"/>
        <v>138724.34957484124</v>
      </c>
      <c r="T26" s="106">
        <f t="shared" si="8"/>
        <v>132585.634688752</v>
      </c>
      <c r="U26" s="106">
        <f t="shared" si="8"/>
        <v>126718.56512353248</v>
      </c>
      <c r="V26" s="106">
        <f t="shared" si="8"/>
        <v>121111.12025569382</v>
      </c>
      <c r="W26" s="106">
        <f t="shared" si="8"/>
        <v>115751.81138841042</v>
      </c>
      <c r="X26" s="106">
        <f t="shared" si="8"/>
        <v>110629.65821314196</v>
      </c>
      <c r="Y26" s="106">
        <f t="shared" si="8"/>
        <v>105734.16631285667</v>
      </c>
      <c r="Z26" s="106">
        <f t="shared" si="8"/>
        <v>101055.30566076335</v>
      </c>
      <c r="AA26" s="106">
        <f t="shared" si="8"/>
        <v>96583.490070499232</v>
      </c>
    </row>
    <row r="28" spans="1:27" x14ac:dyDescent="0.25">
      <c r="B28" s="5"/>
      <c r="C28" s="6" t="s">
        <v>61</v>
      </c>
      <c r="D28" s="39" t="s">
        <v>244</v>
      </c>
      <c r="E28" s="225" t="s">
        <v>32</v>
      </c>
      <c r="F28" s="225" t="s">
        <v>79</v>
      </c>
      <c r="G28" s="225" t="s">
        <v>80</v>
      </c>
      <c r="H28" s="225"/>
      <c r="I28" s="225" t="s">
        <v>33</v>
      </c>
      <c r="J28" s="225"/>
      <c r="K28" s="225"/>
      <c r="L28" s="225"/>
    </row>
    <row r="29" spans="1:27" ht="30" x14ac:dyDescent="0.25">
      <c r="B29" s="119" t="s">
        <v>317</v>
      </c>
      <c r="C29" s="5" t="s">
        <v>35</v>
      </c>
      <c r="D29" s="106">
        <f>SUM(L26:AA26)</f>
        <v>1668902.4612189394</v>
      </c>
      <c r="E29" s="226"/>
      <c r="F29" s="226"/>
      <c r="G29" s="226"/>
      <c r="H29" s="226"/>
      <c r="I29" s="226"/>
      <c r="J29" s="226"/>
      <c r="K29" s="226"/>
      <c r="L29" s="226"/>
    </row>
    <row r="36" spans="3:20" x14ac:dyDescent="0.25">
      <c r="C36" s="60"/>
      <c r="D36" s="128"/>
    </row>
    <row r="37" spans="3:20" x14ac:dyDescent="0.25">
      <c r="E37" s="128"/>
    </row>
    <row r="40" spans="3:20" x14ac:dyDescent="0.25">
      <c r="E40" s="112"/>
      <c r="F40" s="112"/>
      <c r="G40" s="112"/>
      <c r="H40" s="112"/>
      <c r="I40" s="112"/>
      <c r="J40" s="112"/>
      <c r="K40" s="112"/>
      <c r="L40" s="112"/>
      <c r="M40" s="112"/>
      <c r="N40" s="112"/>
      <c r="O40" s="112"/>
      <c r="P40" s="112"/>
      <c r="Q40" s="112"/>
      <c r="R40" s="112"/>
      <c r="S40" s="112"/>
      <c r="T40" s="112"/>
    </row>
    <row r="42" spans="3:20" x14ac:dyDescent="0.25">
      <c r="E42" s="112"/>
      <c r="F42" s="112"/>
      <c r="G42" s="112"/>
      <c r="H42" s="112"/>
      <c r="I42" s="112"/>
      <c r="J42" s="112"/>
      <c r="K42" s="112"/>
      <c r="L42" s="112"/>
      <c r="M42" s="112"/>
      <c r="N42" s="112"/>
      <c r="O42" s="112"/>
      <c r="P42" s="112"/>
      <c r="Q42" s="112"/>
      <c r="R42" s="112"/>
      <c r="S42" s="112"/>
      <c r="T42" s="112"/>
    </row>
    <row r="43" spans="3:20" x14ac:dyDescent="0.25">
      <c r="D43" s="60"/>
      <c r="F43" s="127"/>
    </row>
    <row r="44" spans="3:20" x14ac:dyDescent="0.25">
      <c r="D44" s="60"/>
      <c r="F44" s="127"/>
      <c r="G44" s="129"/>
      <c r="H44" s="129"/>
      <c r="I44" s="129"/>
      <c r="J44" s="129"/>
      <c r="K44" s="129"/>
      <c r="L44" s="129"/>
      <c r="M44" s="129"/>
      <c r="N44" s="129"/>
      <c r="O44" s="129"/>
      <c r="P44" s="129"/>
      <c r="Q44" s="129"/>
      <c r="R44" s="129"/>
      <c r="S44" s="129"/>
      <c r="T44" s="129"/>
    </row>
    <row r="45" spans="3:20" x14ac:dyDescent="0.25">
      <c r="D45" s="60"/>
      <c r="F45" s="127"/>
      <c r="G45" s="129"/>
      <c r="H45" s="129"/>
      <c r="I45" s="129"/>
      <c r="J45" s="129"/>
      <c r="K45" s="129"/>
      <c r="L45" s="129"/>
      <c r="M45" s="129"/>
      <c r="N45" s="129"/>
      <c r="O45" s="129"/>
      <c r="P45" s="129"/>
      <c r="Q45" s="129"/>
      <c r="R45" s="129"/>
      <c r="S45" s="129"/>
      <c r="T45" s="129"/>
    </row>
    <row r="46" spans="3:20" x14ac:dyDescent="0.25">
      <c r="D46" s="60"/>
      <c r="J46" s="129"/>
      <c r="K46" s="129"/>
      <c r="L46" s="129"/>
      <c r="M46" s="129"/>
      <c r="N46" s="129"/>
      <c r="O46" s="129"/>
      <c r="P46" s="129"/>
      <c r="Q46" s="129"/>
      <c r="R46" s="129"/>
      <c r="S46" s="129"/>
      <c r="T46" s="129"/>
    </row>
    <row r="48" spans="3:20" x14ac:dyDescent="0.25">
      <c r="D48" s="60"/>
      <c r="F48" s="129"/>
      <c r="G48" s="129"/>
      <c r="H48" s="129"/>
      <c r="I48" s="129"/>
      <c r="J48" s="129"/>
      <c r="K48" s="129"/>
      <c r="L48" s="129"/>
      <c r="M48" s="129"/>
      <c r="N48" s="129"/>
      <c r="O48" s="129"/>
      <c r="P48" s="129"/>
      <c r="Q48" s="129"/>
      <c r="R48" s="129"/>
      <c r="S48" s="129"/>
      <c r="T48" s="129"/>
    </row>
    <row r="49" spans="4:5" x14ac:dyDescent="0.25">
      <c r="D49" s="60"/>
      <c r="E49" s="129"/>
    </row>
  </sheetData>
  <mergeCells count="34">
    <mergeCell ref="D8:G8"/>
    <mergeCell ref="D26:G26"/>
    <mergeCell ref="H26:K26"/>
    <mergeCell ref="D25:G25"/>
    <mergeCell ref="H25:K25"/>
    <mergeCell ref="E20:H20"/>
    <mergeCell ref="I20:L20"/>
    <mergeCell ref="E21:H21"/>
    <mergeCell ref="I21:L21"/>
    <mergeCell ref="H8:K8"/>
    <mergeCell ref="D9:G9"/>
    <mergeCell ref="H9:K9"/>
    <mergeCell ref="D10:G10"/>
    <mergeCell ref="H10:K10"/>
    <mergeCell ref="D11:G11"/>
    <mergeCell ref="H11:K11"/>
    <mergeCell ref="D5:G5"/>
    <mergeCell ref="H5:K5"/>
    <mergeCell ref="D6:G6"/>
    <mergeCell ref="H6:K6"/>
    <mergeCell ref="D7:G7"/>
    <mergeCell ref="H7:K7"/>
    <mergeCell ref="D12:G12"/>
    <mergeCell ref="H12:K12"/>
    <mergeCell ref="E28:H28"/>
    <mergeCell ref="I28:L28"/>
    <mergeCell ref="E29:H29"/>
    <mergeCell ref="I29:L29"/>
    <mergeCell ref="D13:G13"/>
    <mergeCell ref="H13:K13"/>
    <mergeCell ref="E15:H15"/>
    <mergeCell ref="I15:L15"/>
    <mergeCell ref="E16:H16"/>
    <mergeCell ref="I16:L16"/>
  </mergeCells>
  <dataValidations count="1">
    <dataValidation type="list" allowBlank="1" showInputMessage="1" showErrorMessage="1" sqref="C5" xr:uid="{ABFF3803-0E0F-41EA-92AB-B1BACCD681EB}">
      <formula1>$D$52:$J$52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BD370-EE44-4193-A287-3D1EF88102C5}">
  <dimension ref="A1:AO16"/>
  <sheetViews>
    <sheetView workbookViewId="0">
      <selection activeCell="A16" sqref="A16"/>
    </sheetView>
  </sheetViews>
  <sheetFormatPr defaultColWidth="8.85546875" defaultRowHeight="15" outlineLevelRow="1" x14ac:dyDescent="0.25"/>
  <cols>
    <col min="1" max="1" width="42.140625" style="2" customWidth="1"/>
    <col min="2" max="38" width="10.85546875" style="2" customWidth="1"/>
    <col min="39" max="16384" width="8.85546875" style="2"/>
  </cols>
  <sheetData>
    <row r="1" spans="1:41" s="3" customFormat="1" ht="20.25" thickBot="1" x14ac:dyDescent="0.35">
      <c r="A1" s="3" t="s">
        <v>479</v>
      </c>
      <c r="H1" s="1" t="s">
        <v>1</v>
      </c>
      <c r="I1" s="201" t="s">
        <v>2</v>
      </c>
      <c r="J1" s="202" t="s">
        <v>3</v>
      </c>
      <c r="K1" s="203" t="s">
        <v>4</v>
      </c>
      <c r="L1" s="204" t="s">
        <v>5</v>
      </c>
      <c r="M1" s="200" t="s">
        <v>303</v>
      </c>
    </row>
    <row r="2" spans="1:41" ht="15.75" outlineLevel="1" thickTop="1" x14ac:dyDescent="0.25">
      <c r="A2" s="4" t="s">
        <v>30</v>
      </c>
    </row>
    <row r="4" spans="1:41" x14ac:dyDescent="0.25">
      <c r="A4" s="6" t="s">
        <v>318</v>
      </c>
      <c r="B4" s="6" t="s">
        <v>61</v>
      </c>
      <c r="C4" s="6" t="s">
        <v>319</v>
      </c>
      <c r="D4" s="259" t="s">
        <v>32</v>
      </c>
      <c r="E4" s="259"/>
      <c r="F4" s="259"/>
      <c r="G4" s="259"/>
      <c r="H4" s="259"/>
      <c r="I4" s="259"/>
      <c r="J4" s="259" t="s">
        <v>33</v>
      </c>
      <c r="K4" s="259"/>
      <c r="L4" s="259"/>
      <c r="M4" s="259"/>
      <c r="N4" s="259"/>
      <c r="O4" s="259"/>
    </row>
    <row r="5" spans="1:41" ht="29.1" customHeight="1" x14ac:dyDescent="0.25">
      <c r="A5" s="5" t="s">
        <v>320</v>
      </c>
      <c r="B5" s="5" t="s">
        <v>69</v>
      </c>
      <c r="C5" s="48">
        <v>6.5299999999999997E-2</v>
      </c>
      <c r="D5" s="226" t="s">
        <v>321</v>
      </c>
      <c r="E5" s="226"/>
      <c r="F5" s="226"/>
      <c r="G5" s="226"/>
      <c r="H5" s="226"/>
      <c r="I5" s="226"/>
      <c r="J5" s="226" t="s">
        <v>322</v>
      </c>
      <c r="K5" s="226"/>
      <c r="L5" s="226"/>
      <c r="M5" s="226"/>
      <c r="N5" s="226"/>
      <c r="O5" s="226"/>
    </row>
    <row r="6" spans="1:41" ht="29.1" customHeight="1" x14ac:dyDescent="0.25">
      <c r="A6" s="5" t="s">
        <v>323</v>
      </c>
      <c r="B6" s="5" t="s">
        <v>69</v>
      </c>
      <c r="C6" s="48">
        <v>1.9E-2</v>
      </c>
      <c r="D6" s="226" t="s">
        <v>324</v>
      </c>
      <c r="E6" s="226"/>
      <c r="F6" s="226"/>
      <c r="G6" s="226"/>
      <c r="H6" s="226"/>
      <c r="I6" s="226"/>
      <c r="J6" s="226" t="s">
        <v>325</v>
      </c>
      <c r="K6" s="226"/>
      <c r="L6" s="226"/>
      <c r="M6" s="226"/>
      <c r="N6" s="226"/>
      <c r="O6" s="226"/>
    </row>
    <row r="7" spans="1:41" ht="29.1" customHeight="1" thickBot="1" x14ac:dyDescent="0.3">
      <c r="A7" s="49" t="s">
        <v>326</v>
      </c>
      <c r="B7" s="49" t="s">
        <v>69</v>
      </c>
      <c r="C7" s="50">
        <f>C5-C6</f>
        <v>4.6299999999999994E-2</v>
      </c>
      <c r="D7" s="226" t="s">
        <v>327</v>
      </c>
      <c r="E7" s="226"/>
      <c r="F7" s="226"/>
      <c r="G7" s="226"/>
      <c r="H7" s="226"/>
      <c r="I7" s="226"/>
      <c r="J7" s="226" t="s">
        <v>135</v>
      </c>
      <c r="K7" s="226"/>
      <c r="L7" s="226"/>
      <c r="M7" s="226"/>
      <c r="N7" s="226"/>
      <c r="O7" s="226"/>
    </row>
    <row r="8" spans="1:41" ht="15.75" thickTop="1" x14ac:dyDescent="0.25"/>
    <row r="9" spans="1:41" x14ac:dyDescent="0.25">
      <c r="A9" s="6" t="s">
        <v>328</v>
      </c>
      <c r="B9" s="6" t="s">
        <v>61</v>
      </c>
      <c r="C9" s="6" t="s">
        <v>319</v>
      </c>
      <c r="D9" s="259" t="s">
        <v>32</v>
      </c>
      <c r="E9" s="259"/>
      <c r="F9" s="259"/>
      <c r="G9" s="259"/>
      <c r="H9" s="259"/>
      <c r="I9" s="259"/>
      <c r="J9" s="259" t="s">
        <v>33</v>
      </c>
      <c r="K9" s="259"/>
      <c r="L9" s="259"/>
      <c r="M9" s="259"/>
      <c r="N9" s="259"/>
      <c r="O9" s="259"/>
    </row>
    <row r="10" spans="1:41" ht="29.1" customHeight="1" x14ac:dyDescent="0.25">
      <c r="A10" s="5" t="s">
        <v>329</v>
      </c>
      <c r="B10" s="5" t="s">
        <v>330</v>
      </c>
      <c r="C10" s="51">
        <v>19.3</v>
      </c>
      <c r="D10" s="226"/>
      <c r="E10" s="226"/>
      <c r="F10" s="226"/>
      <c r="G10" s="226"/>
      <c r="H10" s="226"/>
      <c r="I10" s="226"/>
      <c r="J10" s="226" t="s">
        <v>331</v>
      </c>
      <c r="K10" s="226"/>
      <c r="L10" s="226"/>
      <c r="M10" s="226"/>
      <c r="N10" s="226"/>
      <c r="O10" s="226"/>
    </row>
    <row r="11" spans="1:41" ht="29.1" customHeight="1" x14ac:dyDescent="0.25">
      <c r="A11" s="5" t="s">
        <v>332</v>
      </c>
      <c r="B11" s="5" t="s">
        <v>330</v>
      </c>
      <c r="C11" s="51">
        <v>153.80000000000001</v>
      </c>
      <c r="D11" s="226"/>
      <c r="E11" s="226"/>
      <c r="F11" s="226"/>
      <c r="G11" s="226"/>
      <c r="H11" s="226"/>
      <c r="I11" s="226"/>
      <c r="J11" s="226" t="s">
        <v>333</v>
      </c>
      <c r="K11" s="226"/>
      <c r="L11" s="226"/>
      <c r="M11" s="226"/>
      <c r="N11" s="226"/>
      <c r="O11" s="226"/>
    </row>
    <row r="12" spans="1:41" ht="43.35" customHeight="1" thickBot="1" x14ac:dyDescent="0.3">
      <c r="A12" s="49" t="s">
        <v>334</v>
      </c>
      <c r="B12" s="49" t="s">
        <v>69</v>
      </c>
      <c r="C12" s="50">
        <f>1-C10/C11</f>
        <v>0.8745123537061118</v>
      </c>
      <c r="D12" s="226" t="s">
        <v>335</v>
      </c>
      <c r="E12" s="226"/>
      <c r="F12" s="226"/>
      <c r="G12" s="226"/>
      <c r="H12" s="226"/>
      <c r="I12" s="226"/>
      <c r="J12" s="226" t="s">
        <v>336</v>
      </c>
      <c r="K12" s="226"/>
      <c r="L12" s="226"/>
      <c r="M12" s="226"/>
      <c r="N12" s="226"/>
      <c r="O12" s="226"/>
    </row>
    <row r="13" spans="1:41" ht="15.75" thickTop="1" x14ac:dyDescent="0.25">
      <c r="C13" s="52"/>
    </row>
    <row r="14" spans="1:41" ht="14.45" customHeight="1" x14ac:dyDescent="0.25">
      <c r="A14" s="6" t="s">
        <v>337</v>
      </c>
      <c r="B14" s="6" t="s">
        <v>61</v>
      </c>
      <c r="C14" s="225" t="s">
        <v>32</v>
      </c>
      <c r="D14" s="225"/>
      <c r="E14" s="225"/>
      <c r="F14" s="225"/>
      <c r="G14" s="225" t="s">
        <v>33</v>
      </c>
      <c r="H14" s="225"/>
      <c r="I14" s="225"/>
      <c r="J14" s="225"/>
      <c r="K14" s="6">
        <v>2026</v>
      </c>
      <c r="L14" s="6">
        <f>K14+1</f>
        <v>2027</v>
      </c>
      <c r="M14" s="6">
        <f t="shared" ref="M14:AO14" si="0">L14+1</f>
        <v>2028</v>
      </c>
      <c r="N14" s="6">
        <f t="shared" si="0"/>
        <v>2029</v>
      </c>
      <c r="O14" s="6">
        <f t="shared" si="0"/>
        <v>2030</v>
      </c>
      <c r="P14" s="6">
        <f t="shared" si="0"/>
        <v>2031</v>
      </c>
      <c r="Q14" s="6">
        <f t="shared" si="0"/>
        <v>2032</v>
      </c>
      <c r="R14" s="6">
        <f t="shared" si="0"/>
        <v>2033</v>
      </c>
      <c r="S14" s="6">
        <f t="shared" si="0"/>
        <v>2034</v>
      </c>
      <c r="T14" s="6">
        <f t="shared" si="0"/>
        <v>2035</v>
      </c>
      <c r="U14" s="6">
        <f t="shared" si="0"/>
        <v>2036</v>
      </c>
      <c r="V14" s="6">
        <f t="shared" si="0"/>
        <v>2037</v>
      </c>
      <c r="W14" s="6">
        <f t="shared" si="0"/>
        <v>2038</v>
      </c>
      <c r="X14" s="6">
        <f t="shared" si="0"/>
        <v>2039</v>
      </c>
      <c r="Y14" s="6">
        <f t="shared" si="0"/>
        <v>2040</v>
      </c>
      <c r="Z14" s="6">
        <f t="shared" si="0"/>
        <v>2041</v>
      </c>
      <c r="AA14" s="6">
        <f t="shared" si="0"/>
        <v>2042</v>
      </c>
      <c r="AB14" s="6">
        <f t="shared" si="0"/>
        <v>2043</v>
      </c>
      <c r="AC14" s="6">
        <f t="shared" si="0"/>
        <v>2044</v>
      </c>
      <c r="AD14" s="6">
        <f t="shared" si="0"/>
        <v>2045</v>
      </c>
      <c r="AE14" s="6">
        <f t="shared" si="0"/>
        <v>2046</v>
      </c>
      <c r="AF14" s="6">
        <f t="shared" si="0"/>
        <v>2047</v>
      </c>
      <c r="AG14" s="6">
        <f t="shared" si="0"/>
        <v>2048</v>
      </c>
      <c r="AH14" s="6">
        <f t="shared" si="0"/>
        <v>2049</v>
      </c>
      <c r="AI14" s="6">
        <f t="shared" si="0"/>
        <v>2050</v>
      </c>
      <c r="AJ14" s="6">
        <f t="shared" si="0"/>
        <v>2051</v>
      </c>
      <c r="AK14" s="6">
        <f t="shared" si="0"/>
        <v>2052</v>
      </c>
      <c r="AL14" s="6">
        <f t="shared" si="0"/>
        <v>2053</v>
      </c>
      <c r="AM14" s="6">
        <f t="shared" si="0"/>
        <v>2054</v>
      </c>
      <c r="AN14" s="6">
        <f t="shared" si="0"/>
        <v>2055</v>
      </c>
      <c r="AO14" s="6">
        <f t="shared" si="0"/>
        <v>2056</v>
      </c>
    </row>
    <row r="15" spans="1:41" ht="57.6" customHeight="1" x14ac:dyDescent="0.25">
      <c r="A15" s="5" t="s">
        <v>147</v>
      </c>
      <c r="B15" s="5" t="s">
        <v>144</v>
      </c>
      <c r="C15" s="226" t="s">
        <v>338</v>
      </c>
      <c r="D15" s="226"/>
      <c r="E15" s="226"/>
      <c r="F15" s="226"/>
      <c r="G15" s="226" t="s">
        <v>339</v>
      </c>
      <c r="H15" s="226"/>
      <c r="I15" s="226"/>
      <c r="J15" s="226"/>
      <c r="K15" s="54">
        <v>1</v>
      </c>
      <c r="L15" s="54">
        <v>1.1000000000000001</v>
      </c>
      <c r="M15" s="54">
        <v>1.2</v>
      </c>
      <c r="N15" s="54">
        <v>1.32</v>
      </c>
      <c r="O15" s="54">
        <v>1.44</v>
      </c>
      <c r="P15" s="54">
        <f>O15</f>
        <v>1.44</v>
      </c>
      <c r="Q15" s="54">
        <f t="shared" ref="Q15:AN15" si="1">P15</f>
        <v>1.44</v>
      </c>
      <c r="R15" s="54">
        <f t="shared" si="1"/>
        <v>1.44</v>
      </c>
      <c r="S15" s="54">
        <f t="shared" si="1"/>
        <v>1.44</v>
      </c>
      <c r="T15" s="54">
        <f t="shared" si="1"/>
        <v>1.44</v>
      </c>
      <c r="U15" s="54">
        <f t="shared" si="1"/>
        <v>1.44</v>
      </c>
      <c r="V15" s="54">
        <f t="shared" si="1"/>
        <v>1.44</v>
      </c>
      <c r="W15" s="54">
        <f t="shared" si="1"/>
        <v>1.44</v>
      </c>
      <c r="X15" s="54">
        <f t="shared" si="1"/>
        <v>1.44</v>
      </c>
      <c r="Y15" s="54">
        <f t="shared" si="1"/>
        <v>1.44</v>
      </c>
      <c r="Z15" s="54">
        <f t="shared" si="1"/>
        <v>1.44</v>
      </c>
      <c r="AA15" s="54">
        <f t="shared" si="1"/>
        <v>1.44</v>
      </c>
      <c r="AB15" s="54">
        <f t="shared" si="1"/>
        <v>1.44</v>
      </c>
      <c r="AC15" s="54">
        <f t="shared" si="1"/>
        <v>1.44</v>
      </c>
      <c r="AD15" s="54">
        <f t="shared" si="1"/>
        <v>1.44</v>
      </c>
      <c r="AE15" s="54">
        <f t="shared" si="1"/>
        <v>1.44</v>
      </c>
      <c r="AF15" s="54">
        <f t="shared" si="1"/>
        <v>1.44</v>
      </c>
      <c r="AG15" s="54">
        <f t="shared" si="1"/>
        <v>1.44</v>
      </c>
      <c r="AH15" s="54">
        <f t="shared" si="1"/>
        <v>1.44</v>
      </c>
      <c r="AI15" s="54">
        <f t="shared" si="1"/>
        <v>1.44</v>
      </c>
      <c r="AJ15" s="54">
        <f t="shared" si="1"/>
        <v>1.44</v>
      </c>
      <c r="AK15" s="54">
        <f t="shared" si="1"/>
        <v>1.44</v>
      </c>
      <c r="AL15" s="54">
        <f t="shared" si="1"/>
        <v>1.44</v>
      </c>
      <c r="AM15" s="54">
        <f t="shared" si="1"/>
        <v>1.44</v>
      </c>
      <c r="AN15" s="54">
        <f t="shared" si="1"/>
        <v>1.44</v>
      </c>
      <c r="AO15" s="54">
        <f t="shared" ref="AO15" si="2">AN15</f>
        <v>1.44</v>
      </c>
    </row>
    <row r="16" spans="1:41" ht="57.6" customHeight="1" x14ac:dyDescent="0.25">
      <c r="A16" s="5" t="s">
        <v>150</v>
      </c>
      <c r="B16" s="5" t="s">
        <v>144</v>
      </c>
      <c r="C16" s="226" t="s">
        <v>305</v>
      </c>
      <c r="D16" s="226"/>
      <c r="E16" s="226"/>
      <c r="F16" s="226"/>
      <c r="G16" s="226" t="s">
        <v>306</v>
      </c>
      <c r="H16" s="226"/>
      <c r="I16" s="226"/>
      <c r="J16" s="226"/>
      <c r="K16" s="54">
        <v>1</v>
      </c>
      <c r="L16" s="54">
        <v>1.1499999999999999</v>
      </c>
      <c r="M16" s="54">
        <v>1.1599999999999999</v>
      </c>
      <c r="N16" s="54">
        <v>1.19</v>
      </c>
      <c r="O16" s="54">
        <v>1.21</v>
      </c>
      <c r="P16" s="54">
        <v>1.24</v>
      </c>
      <c r="Q16" s="54">
        <v>1.2</v>
      </c>
      <c r="R16" s="54">
        <f>Q16</f>
        <v>1.2</v>
      </c>
      <c r="S16" s="54">
        <f t="shared" ref="S16:AN16" si="3">R16</f>
        <v>1.2</v>
      </c>
      <c r="T16" s="54">
        <f t="shared" si="3"/>
        <v>1.2</v>
      </c>
      <c r="U16" s="54">
        <f t="shared" si="3"/>
        <v>1.2</v>
      </c>
      <c r="V16" s="54">
        <f t="shared" si="3"/>
        <v>1.2</v>
      </c>
      <c r="W16" s="54">
        <f t="shared" si="3"/>
        <v>1.2</v>
      </c>
      <c r="X16" s="54">
        <f t="shared" si="3"/>
        <v>1.2</v>
      </c>
      <c r="Y16" s="54">
        <f t="shared" si="3"/>
        <v>1.2</v>
      </c>
      <c r="Z16" s="54">
        <f t="shared" si="3"/>
        <v>1.2</v>
      </c>
      <c r="AA16" s="54">
        <f t="shared" si="3"/>
        <v>1.2</v>
      </c>
      <c r="AB16" s="54">
        <f t="shared" si="3"/>
        <v>1.2</v>
      </c>
      <c r="AC16" s="54">
        <f t="shared" si="3"/>
        <v>1.2</v>
      </c>
      <c r="AD16" s="54">
        <f t="shared" si="3"/>
        <v>1.2</v>
      </c>
      <c r="AE16" s="54">
        <f t="shared" si="3"/>
        <v>1.2</v>
      </c>
      <c r="AF16" s="54">
        <f t="shared" si="3"/>
        <v>1.2</v>
      </c>
      <c r="AG16" s="54">
        <f t="shared" si="3"/>
        <v>1.2</v>
      </c>
      <c r="AH16" s="54">
        <f t="shared" si="3"/>
        <v>1.2</v>
      </c>
      <c r="AI16" s="54">
        <f t="shared" si="3"/>
        <v>1.2</v>
      </c>
      <c r="AJ16" s="54">
        <f t="shared" si="3"/>
        <v>1.2</v>
      </c>
      <c r="AK16" s="54">
        <f t="shared" si="3"/>
        <v>1.2</v>
      </c>
      <c r="AL16" s="54">
        <f t="shared" si="3"/>
        <v>1.2</v>
      </c>
      <c r="AM16" s="54">
        <f t="shared" si="3"/>
        <v>1.2</v>
      </c>
      <c r="AN16" s="54">
        <f t="shared" si="3"/>
        <v>1.2</v>
      </c>
      <c r="AO16" s="54">
        <f t="shared" ref="AO16" si="4">AN16</f>
        <v>1.2</v>
      </c>
    </row>
  </sheetData>
  <mergeCells count="22">
    <mergeCell ref="J9:O9"/>
    <mergeCell ref="C14:F14"/>
    <mergeCell ref="C15:F15"/>
    <mergeCell ref="D4:I4"/>
    <mergeCell ref="D5:I5"/>
    <mergeCell ref="D6:I6"/>
    <mergeCell ref="D7:I7"/>
    <mergeCell ref="D9:I9"/>
    <mergeCell ref="D10:I10"/>
    <mergeCell ref="D12:I12"/>
    <mergeCell ref="D11:I11"/>
    <mergeCell ref="J7:O7"/>
    <mergeCell ref="J4:O4"/>
    <mergeCell ref="J5:O5"/>
    <mergeCell ref="J6:O6"/>
    <mergeCell ref="C16:F16"/>
    <mergeCell ref="G14:J14"/>
    <mergeCell ref="G15:J15"/>
    <mergeCell ref="G16:J16"/>
    <mergeCell ref="J10:O10"/>
    <mergeCell ref="J11:O11"/>
    <mergeCell ref="J12:O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1CFF5-5009-49D4-9AD9-701BDC661F94}">
  <dimension ref="A1:L9"/>
  <sheetViews>
    <sheetView workbookViewId="0">
      <selection activeCell="F5" sqref="F5:F9"/>
    </sheetView>
  </sheetViews>
  <sheetFormatPr defaultColWidth="9.140625" defaultRowHeight="15" outlineLevelRow="1" x14ac:dyDescent="0.25"/>
  <cols>
    <col min="1" max="1" width="22" style="2" customWidth="1"/>
    <col min="2" max="2" width="38.7109375" style="2" customWidth="1"/>
    <col min="3" max="3" width="11.85546875" style="2" customWidth="1"/>
    <col min="4" max="33" width="12.5703125" style="2" customWidth="1"/>
    <col min="34" max="16384" width="9.140625" style="2"/>
  </cols>
  <sheetData>
    <row r="1" spans="1:12" s="1" customFormat="1" ht="20.25" thickBot="1" x14ac:dyDescent="0.35">
      <c r="A1" s="1" t="s">
        <v>406</v>
      </c>
      <c r="C1" s="1" t="s">
        <v>1</v>
      </c>
      <c r="D1" s="201" t="s">
        <v>2</v>
      </c>
      <c r="E1" s="202" t="s">
        <v>3</v>
      </c>
      <c r="F1" s="203" t="s">
        <v>4</v>
      </c>
      <c r="G1" s="204" t="s">
        <v>5</v>
      </c>
      <c r="H1" s="200" t="s">
        <v>303</v>
      </c>
    </row>
    <row r="2" spans="1:12" ht="15.75" outlineLevel="1" thickTop="1" x14ac:dyDescent="0.25">
      <c r="A2" s="4" t="s">
        <v>30</v>
      </c>
    </row>
    <row r="4" spans="1:12" ht="29.1" customHeight="1" x14ac:dyDescent="0.25">
      <c r="A4" s="6"/>
      <c r="B4" s="6" t="s">
        <v>32</v>
      </c>
      <c r="C4" s="6" t="s">
        <v>61</v>
      </c>
      <c r="D4" s="211" t="s">
        <v>90</v>
      </c>
      <c r="E4" s="211" t="s">
        <v>91</v>
      </c>
      <c r="F4" s="6" t="s">
        <v>205</v>
      </c>
      <c r="G4" s="259" t="s">
        <v>33</v>
      </c>
      <c r="H4" s="259"/>
      <c r="I4" s="259"/>
      <c r="J4" s="259"/>
      <c r="K4" s="259"/>
      <c r="L4" s="259"/>
    </row>
    <row r="5" spans="1:12" ht="14.45" customHeight="1" x14ac:dyDescent="0.25">
      <c r="A5" s="166" t="s">
        <v>407</v>
      </c>
      <c r="B5" s="174" t="s">
        <v>408</v>
      </c>
      <c r="C5" s="175" t="s">
        <v>95</v>
      </c>
      <c r="D5" s="10">
        <v>240</v>
      </c>
      <c r="E5" s="10">
        <v>0</v>
      </c>
      <c r="F5" s="95">
        <v>170</v>
      </c>
      <c r="G5" s="223" t="s">
        <v>515</v>
      </c>
      <c r="H5" s="223"/>
      <c r="I5" s="223"/>
      <c r="J5" s="223"/>
      <c r="K5" s="223"/>
      <c r="L5" s="223"/>
    </row>
    <row r="6" spans="1:12" ht="14.45" customHeight="1" x14ac:dyDescent="0.25">
      <c r="A6" s="166" t="s">
        <v>409</v>
      </c>
      <c r="B6" s="174" t="s">
        <v>410</v>
      </c>
      <c r="C6" s="175" t="s">
        <v>95</v>
      </c>
      <c r="D6" s="10">
        <v>600</v>
      </c>
      <c r="E6" s="10">
        <v>0</v>
      </c>
      <c r="F6" s="95">
        <v>530</v>
      </c>
      <c r="G6" s="223"/>
      <c r="H6" s="223"/>
      <c r="I6" s="223"/>
      <c r="J6" s="223"/>
      <c r="K6" s="223"/>
      <c r="L6" s="223"/>
    </row>
    <row r="7" spans="1:12" ht="14.45" customHeight="1" x14ac:dyDescent="0.25">
      <c r="A7" s="166" t="s">
        <v>411</v>
      </c>
      <c r="B7" s="174" t="s">
        <v>412</v>
      </c>
      <c r="C7" s="175" t="s">
        <v>95</v>
      </c>
      <c r="D7" s="10">
        <v>85</v>
      </c>
      <c r="E7" s="10">
        <v>85</v>
      </c>
      <c r="F7" s="10">
        <v>85</v>
      </c>
      <c r="G7" s="223"/>
      <c r="H7" s="223"/>
      <c r="I7" s="223"/>
      <c r="J7" s="223"/>
      <c r="K7" s="223"/>
      <c r="L7" s="223"/>
    </row>
    <row r="8" spans="1:12" ht="14.45" customHeight="1" x14ac:dyDescent="0.25">
      <c r="A8" s="166" t="s">
        <v>413</v>
      </c>
      <c r="B8" s="174" t="s">
        <v>414</v>
      </c>
      <c r="C8" s="175" t="s">
        <v>95</v>
      </c>
      <c r="D8" s="10">
        <v>380</v>
      </c>
      <c r="E8" s="10">
        <v>380</v>
      </c>
      <c r="F8" s="10">
        <v>380</v>
      </c>
      <c r="G8" s="223"/>
      <c r="H8" s="223"/>
      <c r="I8" s="223"/>
      <c r="J8" s="223"/>
      <c r="K8" s="223"/>
      <c r="L8" s="223"/>
    </row>
    <row r="9" spans="1:12" ht="14.45" customHeight="1" x14ac:dyDescent="0.25">
      <c r="A9" s="166" t="s">
        <v>415</v>
      </c>
      <c r="B9" s="174" t="s">
        <v>416</v>
      </c>
      <c r="C9" s="175" t="s">
        <v>95</v>
      </c>
      <c r="D9" s="10">
        <v>140</v>
      </c>
      <c r="E9" s="10">
        <v>100</v>
      </c>
      <c r="F9" s="10">
        <v>100</v>
      </c>
      <c r="G9" s="223"/>
      <c r="H9" s="223"/>
      <c r="I9" s="223"/>
      <c r="J9" s="223"/>
      <c r="K9" s="223"/>
      <c r="L9" s="223"/>
    </row>
  </sheetData>
  <mergeCells count="2">
    <mergeCell ref="G4:L4"/>
    <mergeCell ref="G5:L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E9EA1-29F0-46D3-BB8B-26AAD956DEC2}">
  <dimension ref="A1:AS128"/>
  <sheetViews>
    <sheetView topLeftCell="A63" workbookViewId="0">
      <selection activeCell="F7" sqref="F7"/>
    </sheetView>
  </sheetViews>
  <sheetFormatPr defaultColWidth="8.85546875" defaultRowHeight="15" outlineLevelRow="1" x14ac:dyDescent="0.25"/>
  <cols>
    <col min="1" max="1" width="42.140625" style="2" customWidth="1"/>
    <col min="2" max="36" width="12.85546875" style="2" customWidth="1"/>
    <col min="37" max="38" width="10.85546875" style="2" customWidth="1"/>
    <col min="39" max="16384" width="8.85546875" style="2"/>
  </cols>
  <sheetData>
    <row r="1" spans="1:15" s="1" customFormat="1" ht="20.25" thickBot="1" x14ac:dyDescent="0.35">
      <c r="A1" s="1" t="s">
        <v>340</v>
      </c>
      <c r="J1" s="1" t="s">
        <v>1</v>
      </c>
      <c r="K1" s="201" t="s">
        <v>2</v>
      </c>
      <c r="L1" s="202" t="s">
        <v>3</v>
      </c>
      <c r="M1" s="203" t="s">
        <v>4</v>
      </c>
      <c r="N1" s="204" t="s">
        <v>5</v>
      </c>
      <c r="O1" s="200" t="s">
        <v>303</v>
      </c>
    </row>
    <row r="2" spans="1:15" ht="15.75" outlineLevel="1" thickTop="1" x14ac:dyDescent="0.25">
      <c r="A2" s="4" t="s">
        <v>30</v>
      </c>
    </row>
    <row r="4" spans="1:15" s="94" customFormat="1" ht="18" outlineLevel="1" thickBot="1" x14ac:dyDescent="0.35">
      <c r="A4" s="94" t="s">
        <v>341</v>
      </c>
    </row>
    <row r="5" spans="1:15" ht="15.75" thickTop="1" x14ac:dyDescent="0.25"/>
    <row r="6" spans="1:15" ht="30" x14ac:dyDescent="0.25">
      <c r="A6" s="6" t="s">
        <v>124</v>
      </c>
      <c r="B6" s="6" t="s">
        <v>61</v>
      </c>
      <c r="C6" s="53" t="s">
        <v>121</v>
      </c>
      <c r="D6" s="53" t="s">
        <v>122</v>
      </c>
      <c r="E6" s="53" t="s">
        <v>123</v>
      </c>
      <c r="F6" s="53" t="s">
        <v>225</v>
      </c>
      <c r="G6" s="53" t="s">
        <v>226</v>
      </c>
      <c r="H6" s="53" t="s">
        <v>285</v>
      </c>
      <c r="I6" s="53" t="s">
        <v>286</v>
      </c>
      <c r="J6" s="53" t="s">
        <v>287</v>
      </c>
      <c r="K6" s="53" t="s">
        <v>288</v>
      </c>
      <c r="L6" s="107"/>
    </row>
    <row r="7" spans="1:15" x14ac:dyDescent="0.25">
      <c r="A7" s="5" t="s">
        <v>125</v>
      </c>
      <c r="B7" s="5" t="s">
        <v>35</v>
      </c>
      <c r="C7" s="35">
        <f>C15</f>
        <v>531.55445003486159</v>
      </c>
      <c r="D7" s="54">
        <v>0</v>
      </c>
      <c r="E7" s="35">
        <f>C21</f>
        <v>359.69831754012762</v>
      </c>
      <c r="F7" s="35">
        <f>E33</f>
        <v>7286.3490000000002</v>
      </c>
      <c r="G7" s="35">
        <f>E52</f>
        <v>7286.3490000000002</v>
      </c>
      <c r="H7" s="38">
        <f>C64*C65+C67</f>
        <v>130200</v>
      </c>
      <c r="I7" s="38">
        <f>D64*D65+D67</f>
        <v>272520</v>
      </c>
      <c r="J7" s="38">
        <f>(E64*E65+E67)*E68</f>
        <v>126294</v>
      </c>
      <c r="K7" s="38">
        <f>F64*F65+F67</f>
        <v>130200</v>
      </c>
      <c r="L7" s="115"/>
    </row>
    <row r="8" spans="1:15" x14ac:dyDescent="0.25">
      <c r="A8" s="5" t="s">
        <v>127</v>
      </c>
      <c r="B8" s="5" t="s">
        <v>35</v>
      </c>
      <c r="C8" s="35">
        <f>D15</f>
        <v>225.3000923361034</v>
      </c>
      <c r="D8" s="54">
        <v>0</v>
      </c>
      <c r="E8" s="35">
        <f>D21</f>
        <v>251.40204989363758</v>
      </c>
      <c r="F8" s="35">
        <f>E36</f>
        <v>4929.3615</v>
      </c>
      <c r="G8" s="35">
        <f>E55</f>
        <v>4929.3615</v>
      </c>
      <c r="H8" s="38">
        <f>C64*C66</f>
        <v>80000</v>
      </c>
      <c r="I8" s="38">
        <f>D64*D66</f>
        <v>80000</v>
      </c>
      <c r="J8" s="38">
        <f>E64*E66</f>
        <v>80000</v>
      </c>
      <c r="K8" s="38">
        <f>F64*F66</f>
        <v>80000</v>
      </c>
      <c r="L8" s="115"/>
    </row>
    <row r="10" spans="1:15" s="9" customFormat="1" ht="15.75" thickBot="1" x14ac:dyDescent="0.3">
      <c r="A10" s="9" t="s">
        <v>342</v>
      </c>
    </row>
    <row r="11" spans="1:15" x14ac:dyDescent="0.25">
      <c r="C11" s="7" t="s">
        <v>343</v>
      </c>
      <c r="D11" s="7" t="s">
        <v>344</v>
      </c>
    </row>
    <row r="12" spans="1:15" x14ac:dyDescent="0.25">
      <c r="A12" s="6" t="s">
        <v>345</v>
      </c>
      <c r="B12" s="5" t="s">
        <v>346</v>
      </c>
      <c r="C12" s="95">
        <v>131.19999999999999</v>
      </c>
      <c r="D12" s="95">
        <v>58.8</v>
      </c>
    </row>
    <row r="13" spans="1:15" ht="30" x14ac:dyDescent="0.25">
      <c r="A13" s="53" t="s">
        <v>347</v>
      </c>
      <c r="B13" s="5" t="s">
        <v>69</v>
      </c>
      <c r="C13" s="96">
        <v>0.64500000000000002</v>
      </c>
      <c r="D13" s="96">
        <v>0.61</v>
      </c>
    </row>
    <row r="14" spans="1:15" x14ac:dyDescent="0.25">
      <c r="A14" s="6" t="s">
        <v>348</v>
      </c>
      <c r="B14" s="5" t="s">
        <v>144</v>
      </c>
      <c r="C14" s="10">
        <v>159201</v>
      </c>
      <c r="D14" s="26">
        <f>C14</f>
        <v>159201</v>
      </c>
    </row>
    <row r="15" spans="1:15" x14ac:dyDescent="0.25">
      <c r="A15" s="6" t="s">
        <v>349</v>
      </c>
      <c r="B15" s="5" t="s">
        <v>35</v>
      </c>
      <c r="C15" s="20">
        <f>C12*1000000*C13/C14</f>
        <v>531.55445003486159</v>
      </c>
      <c r="D15" s="20">
        <f>D12*1000000*D13/D14</f>
        <v>225.3000923361034</v>
      </c>
    </row>
    <row r="17" spans="1:10" s="9" customFormat="1" ht="15.75" thickBot="1" x14ac:dyDescent="0.3">
      <c r="A17" s="9" t="s">
        <v>350</v>
      </c>
    </row>
    <row r="18" spans="1:10" x14ac:dyDescent="0.25">
      <c r="C18" s="7" t="s">
        <v>343</v>
      </c>
      <c r="D18" s="7" t="s">
        <v>344</v>
      </c>
    </row>
    <row r="19" spans="1:10" x14ac:dyDescent="0.25">
      <c r="A19" s="6" t="s">
        <v>351</v>
      </c>
      <c r="B19" s="5" t="s">
        <v>346</v>
      </c>
      <c r="C19" s="95">
        <v>1.86</v>
      </c>
      <c r="D19" s="97">
        <v>1.3</v>
      </c>
    </row>
    <row r="20" spans="1:10" x14ac:dyDescent="0.25">
      <c r="A20" s="6" t="s">
        <v>352</v>
      </c>
      <c r="B20" s="5" t="s">
        <v>144</v>
      </c>
      <c r="C20" s="10">
        <v>5171</v>
      </c>
      <c r="D20" s="26">
        <f>C20</f>
        <v>5171</v>
      </c>
    </row>
    <row r="21" spans="1:10" x14ac:dyDescent="0.25">
      <c r="A21" s="6" t="s">
        <v>349</v>
      </c>
      <c r="B21" s="5" t="s">
        <v>35</v>
      </c>
      <c r="C21" s="20">
        <f>C19*1000000/C20</f>
        <v>359.69831754012762</v>
      </c>
      <c r="D21" s="20">
        <f>D19*1000000/D20</f>
        <v>251.40204989363758</v>
      </c>
    </row>
    <row r="23" spans="1:10" s="9" customFormat="1" ht="15.75" thickBot="1" x14ac:dyDescent="0.3">
      <c r="A23" s="9" t="s">
        <v>353</v>
      </c>
    </row>
    <row r="25" spans="1:10" x14ac:dyDescent="0.25">
      <c r="A25" s="6" t="s">
        <v>354</v>
      </c>
      <c r="B25" s="6" t="s">
        <v>61</v>
      </c>
      <c r="C25" s="6" t="s">
        <v>355</v>
      </c>
    </row>
    <row r="26" spans="1:10" x14ac:dyDescent="0.25">
      <c r="A26" s="5" t="s">
        <v>356</v>
      </c>
      <c r="B26" s="5" t="s">
        <v>69</v>
      </c>
      <c r="C26" s="95">
        <v>15</v>
      </c>
    </row>
    <row r="27" spans="1:10" x14ac:dyDescent="0.25">
      <c r="A27" s="5" t="s">
        <v>357</v>
      </c>
      <c r="B27" s="5" t="s">
        <v>69</v>
      </c>
      <c r="C27" s="95">
        <v>30</v>
      </c>
    </row>
    <row r="29" spans="1:10" x14ac:dyDescent="0.25">
      <c r="A29" s="6" t="s">
        <v>358</v>
      </c>
      <c r="B29" s="6" t="s">
        <v>61</v>
      </c>
      <c r="C29" s="6" t="s">
        <v>359</v>
      </c>
      <c r="D29" s="53" t="s">
        <v>360</v>
      </c>
      <c r="E29" s="53" t="s">
        <v>361</v>
      </c>
      <c r="F29" s="240" t="s">
        <v>362</v>
      </c>
      <c r="G29" s="241"/>
      <c r="H29" s="241"/>
      <c r="I29" s="241"/>
      <c r="J29" s="242"/>
    </row>
    <row r="30" spans="1:10" x14ac:dyDescent="0.25">
      <c r="A30" s="260" t="s">
        <v>363</v>
      </c>
      <c r="B30" s="260"/>
      <c r="C30" s="260"/>
      <c r="D30" s="260"/>
      <c r="E30" s="260"/>
      <c r="F30" s="260"/>
      <c r="G30" s="260"/>
      <c r="H30" s="260"/>
      <c r="I30" s="260"/>
      <c r="J30" s="260"/>
    </row>
    <row r="31" spans="1:10" x14ac:dyDescent="0.25">
      <c r="A31" s="5" t="s">
        <v>364</v>
      </c>
      <c r="B31" s="5" t="s">
        <v>365</v>
      </c>
      <c r="C31" s="95">
        <v>8.6226000000000003</v>
      </c>
      <c r="D31" s="10">
        <v>365</v>
      </c>
      <c r="E31" s="106">
        <f>C31*D31</f>
        <v>3147.2490000000003</v>
      </c>
      <c r="F31" s="226"/>
      <c r="G31" s="226"/>
      <c r="H31" s="226"/>
      <c r="I31" s="226"/>
      <c r="J31" s="226"/>
    </row>
    <row r="32" spans="1:10" ht="14.45" customHeight="1" x14ac:dyDescent="0.25">
      <c r="A32" s="5" t="s">
        <v>366</v>
      </c>
      <c r="B32" s="5" t="s">
        <v>367</v>
      </c>
      <c r="C32" s="95">
        <v>1.4E-2</v>
      </c>
      <c r="D32" s="10">
        <f>225*24*365*C26/100</f>
        <v>295650</v>
      </c>
      <c r="E32" s="106">
        <f>C32*D32</f>
        <v>4139.1000000000004</v>
      </c>
      <c r="F32" s="226" t="s">
        <v>518</v>
      </c>
      <c r="G32" s="226"/>
      <c r="H32" s="226"/>
      <c r="I32" s="226"/>
      <c r="J32" s="226"/>
    </row>
    <row r="33" spans="1:10" x14ac:dyDescent="0.25">
      <c r="A33" s="6" t="s">
        <v>368</v>
      </c>
      <c r="B33" s="5"/>
      <c r="C33" s="5"/>
      <c r="D33" s="108"/>
      <c r="E33" s="65">
        <f>SUM(E31:E32)</f>
        <v>7286.3490000000002</v>
      </c>
      <c r="F33" s="226"/>
      <c r="G33" s="226"/>
      <c r="H33" s="226"/>
      <c r="I33" s="226"/>
      <c r="J33" s="226"/>
    </row>
    <row r="34" spans="1:10" x14ac:dyDescent="0.25">
      <c r="A34" s="260" t="s">
        <v>369</v>
      </c>
      <c r="B34" s="260"/>
      <c r="C34" s="260"/>
      <c r="D34" s="260"/>
      <c r="E34" s="260"/>
      <c r="F34" s="260"/>
      <c r="G34" s="260"/>
      <c r="H34" s="260"/>
      <c r="I34" s="260"/>
      <c r="J34" s="260"/>
    </row>
    <row r="35" spans="1:10" x14ac:dyDescent="0.25">
      <c r="A35" s="5" t="s">
        <v>364</v>
      </c>
      <c r="B35" s="5" t="s">
        <v>365</v>
      </c>
      <c r="C35" s="95">
        <v>13.505100000000001</v>
      </c>
      <c r="D35" s="10">
        <v>365</v>
      </c>
      <c r="E35" s="106">
        <f>C35*D35</f>
        <v>4929.3615</v>
      </c>
      <c r="F35" s="226"/>
      <c r="G35" s="226"/>
      <c r="H35" s="226"/>
      <c r="I35" s="226"/>
      <c r="J35" s="226"/>
    </row>
    <row r="36" spans="1:10" x14ac:dyDescent="0.25">
      <c r="A36" s="6" t="s">
        <v>370</v>
      </c>
      <c r="B36" s="5"/>
      <c r="C36" s="5"/>
      <c r="D36" s="108"/>
      <c r="E36" s="65">
        <f>E35</f>
        <v>4929.3615</v>
      </c>
      <c r="F36" s="226"/>
      <c r="G36" s="226"/>
      <c r="H36" s="226"/>
      <c r="I36" s="226"/>
      <c r="J36" s="226"/>
    </row>
    <row r="37" spans="1:10" x14ac:dyDescent="0.25">
      <c r="A37" s="7"/>
      <c r="D37" s="110"/>
      <c r="E37" s="75"/>
      <c r="F37" s="44"/>
      <c r="G37" s="44"/>
      <c r="H37" s="44"/>
      <c r="I37" s="44"/>
      <c r="J37" s="44"/>
    </row>
    <row r="38" spans="1:10" x14ac:dyDescent="0.25">
      <c r="A38" s="6" t="s">
        <v>371</v>
      </c>
      <c r="B38" s="6" t="s">
        <v>61</v>
      </c>
      <c r="C38" s="6" t="s">
        <v>372</v>
      </c>
      <c r="D38" s="110"/>
      <c r="E38" s="75"/>
      <c r="F38" s="44"/>
      <c r="G38" s="44"/>
      <c r="H38" s="44"/>
      <c r="I38" s="44"/>
      <c r="J38" s="44"/>
    </row>
    <row r="39" spans="1:10" x14ac:dyDescent="0.25">
      <c r="A39" s="5" t="s">
        <v>373</v>
      </c>
      <c r="B39" s="5" t="s">
        <v>35</v>
      </c>
      <c r="C39" s="106">
        <f>(C27-C26)/C26*E32</f>
        <v>4139.1000000000004</v>
      </c>
      <c r="D39" s="110"/>
      <c r="E39" s="75"/>
      <c r="F39" s="44"/>
      <c r="G39" s="44"/>
      <c r="H39" s="44"/>
      <c r="I39" s="44"/>
      <c r="J39" s="44"/>
    </row>
    <row r="40" spans="1:10" x14ac:dyDescent="0.25">
      <c r="A40" s="6" t="s">
        <v>374</v>
      </c>
      <c r="B40" s="5" t="s">
        <v>69</v>
      </c>
      <c r="C40" s="111">
        <f>C39/E33</f>
        <v>0.5680622764569746</v>
      </c>
      <c r="D40" s="110"/>
      <c r="E40" s="75"/>
      <c r="F40" s="44"/>
      <c r="G40" s="44"/>
      <c r="H40" s="44"/>
      <c r="I40" s="44"/>
      <c r="J40" s="44"/>
    </row>
    <row r="41" spans="1:10" x14ac:dyDescent="0.25">
      <c r="A41" s="7"/>
      <c r="C41" s="57"/>
    </row>
    <row r="42" spans="1:10" s="9" customFormat="1" ht="15.75" thickBot="1" x14ac:dyDescent="0.3">
      <c r="A42" s="9" t="s">
        <v>375</v>
      </c>
    </row>
    <row r="43" spans="1:10" x14ac:dyDescent="0.25">
      <c r="A43" s="7"/>
      <c r="C43" s="57"/>
    </row>
    <row r="44" spans="1:10" x14ac:dyDescent="0.25">
      <c r="A44" s="6" t="s">
        <v>354</v>
      </c>
      <c r="B44" s="6" t="s">
        <v>61</v>
      </c>
      <c r="C44" s="6" t="s">
        <v>355</v>
      </c>
    </row>
    <row r="45" spans="1:10" x14ac:dyDescent="0.25">
      <c r="A45" s="5" t="s">
        <v>356</v>
      </c>
      <c r="B45" s="5" t="s">
        <v>69</v>
      </c>
      <c r="C45" s="95">
        <v>15</v>
      </c>
    </row>
    <row r="46" spans="1:10" x14ac:dyDescent="0.25">
      <c r="A46" s="5" t="s">
        <v>357</v>
      </c>
      <c r="B46" s="5" t="s">
        <v>69</v>
      </c>
      <c r="C46" s="95">
        <v>30</v>
      </c>
    </row>
    <row r="48" spans="1:10" x14ac:dyDescent="0.25">
      <c r="A48" s="6" t="s">
        <v>358</v>
      </c>
      <c r="B48" s="6" t="s">
        <v>61</v>
      </c>
      <c r="C48" s="6" t="s">
        <v>359</v>
      </c>
      <c r="D48" s="53" t="s">
        <v>360</v>
      </c>
      <c r="E48" s="53" t="s">
        <v>361</v>
      </c>
      <c r="F48" s="240" t="s">
        <v>362</v>
      </c>
      <c r="G48" s="241"/>
      <c r="H48" s="241"/>
      <c r="I48" s="241"/>
      <c r="J48" s="242"/>
    </row>
    <row r="49" spans="1:10" x14ac:dyDescent="0.25">
      <c r="A49" s="260" t="s">
        <v>363</v>
      </c>
      <c r="B49" s="260"/>
      <c r="C49" s="260"/>
      <c r="D49" s="260"/>
      <c r="E49" s="260"/>
      <c r="F49" s="260"/>
      <c r="G49" s="260"/>
      <c r="H49" s="260"/>
      <c r="I49" s="260"/>
      <c r="J49" s="260"/>
    </row>
    <row r="50" spans="1:10" x14ac:dyDescent="0.25">
      <c r="A50" s="5" t="s">
        <v>364</v>
      </c>
      <c r="B50" s="5" t="s">
        <v>365</v>
      </c>
      <c r="C50" s="77">
        <f>C31</f>
        <v>8.6226000000000003</v>
      </c>
      <c r="D50" s="10">
        <v>365</v>
      </c>
      <c r="E50" s="106">
        <f>C50*D50</f>
        <v>3147.2490000000003</v>
      </c>
      <c r="F50" s="226"/>
      <c r="G50" s="226"/>
      <c r="H50" s="226"/>
      <c r="I50" s="226"/>
      <c r="J50" s="226"/>
    </row>
    <row r="51" spans="1:10" x14ac:dyDescent="0.25">
      <c r="A51" s="5" t="s">
        <v>366</v>
      </c>
      <c r="B51" s="5" t="s">
        <v>367</v>
      </c>
      <c r="C51" s="77">
        <f>C32</f>
        <v>1.4E-2</v>
      </c>
      <c r="D51" s="10">
        <f>225*24*365*C45/100</f>
        <v>295650</v>
      </c>
      <c r="E51" s="106">
        <f>C51*D51</f>
        <v>4139.1000000000004</v>
      </c>
      <c r="F51" s="226" t="s">
        <v>518</v>
      </c>
      <c r="G51" s="226"/>
      <c r="H51" s="226"/>
      <c r="I51" s="226"/>
      <c r="J51" s="226"/>
    </row>
    <row r="52" spans="1:10" x14ac:dyDescent="0.25">
      <c r="A52" s="6" t="s">
        <v>368</v>
      </c>
      <c r="B52" s="5"/>
      <c r="C52" s="5"/>
      <c r="D52" s="108"/>
      <c r="E52" s="65">
        <f>SUM(E50:E51)</f>
        <v>7286.3490000000002</v>
      </c>
      <c r="F52" s="226"/>
      <c r="G52" s="226"/>
      <c r="H52" s="226"/>
      <c r="I52" s="226"/>
      <c r="J52" s="226"/>
    </row>
    <row r="53" spans="1:10" x14ac:dyDescent="0.25">
      <c r="A53" s="260" t="s">
        <v>369</v>
      </c>
      <c r="B53" s="260"/>
      <c r="C53" s="260"/>
      <c r="D53" s="260"/>
      <c r="E53" s="260"/>
      <c r="F53" s="260"/>
      <c r="G53" s="260"/>
      <c r="H53" s="260"/>
      <c r="I53" s="260"/>
      <c r="J53" s="260"/>
    </row>
    <row r="54" spans="1:10" x14ac:dyDescent="0.25">
      <c r="A54" s="5" t="s">
        <v>364</v>
      </c>
      <c r="B54" s="5" t="s">
        <v>365</v>
      </c>
      <c r="C54" s="77">
        <f>C35</f>
        <v>13.505100000000001</v>
      </c>
      <c r="D54" s="10">
        <v>365</v>
      </c>
      <c r="E54" s="106">
        <f>C54*D54</f>
        <v>4929.3615</v>
      </c>
      <c r="F54" s="226"/>
      <c r="G54" s="226"/>
      <c r="H54" s="226"/>
      <c r="I54" s="226"/>
      <c r="J54" s="226"/>
    </row>
    <row r="55" spans="1:10" x14ac:dyDescent="0.25">
      <c r="A55" s="6" t="s">
        <v>370</v>
      </c>
      <c r="B55" s="5"/>
      <c r="C55" s="5"/>
      <c r="D55" s="108"/>
      <c r="E55" s="65">
        <f>E54</f>
        <v>4929.3615</v>
      </c>
      <c r="F55" s="226"/>
      <c r="G55" s="226"/>
      <c r="H55" s="226"/>
      <c r="I55" s="226"/>
      <c r="J55" s="226"/>
    </row>
    <row r="56" spans="1:10" x14ac:dyDescent="0.25">
      <c r="A56" s="7"/>
      <c r="D56" s="110"/>
      <c r="E56" s="75"/>
      <c r="F56" s="44"/>
      <c r="G56" s="44"/>
      <c r="H56" s="44"/>
      <c r="I56" s="44"/>
      <c r="J56" s="44"/>
    </row>
    <row r="57" spans="1:10" x14ac:dyDescent="0.25">
      <c r="A57" s="6" t="s">
        <v>371</v>
      </c>
      <c r="B57" s="6" t="s">
        <v>61</v>
      </c>
      <c r="C57" s="6" t="s">
        <v>372</v>
      </c>
      <c r="D57" s="110"/>
      <c r="E57" s="75"/>
      <c r="F57" s="44"/>
      <c r="G57" s="44"/>
      <c r="H57" s="44"/>
      <c r="I57" s="44"/>
      <c r="J57" s="44"/>
    </row>
    <row r="58" spans="1:10" x14ac:dyDescent="0.25">
      <c r="A58" s="5" t="s">
        <v>373</v>
      </c>
      <c r="B58" s="5" t="s">
        <v>35</v>
      </c>
      <c r="C58" s="106">
        <f>(C46-C45)/C45*E51</f>
        <v>4139.1000000000004</v>
      </c>
      <c r="D58" s="110"/>
      <c r="E58" s="75"/>
      <c r="F58" s="44"/>
      <c r="G58" s="44"/>
      <c r="H58" s="44"/>
      <c r="I58" s="44"/>
      <c r="J58" s="44"/>
    </row>
    <row r="59" spans="1:10" x14ac:dyDescent="0.25">
      <c r="A59" s="6" t="s">
        <v>374</v>
      </c>
      <c r="B59" s="5" t="s">
        <v>69</v>
      </c>
      <c r="C59" s="111">
        <f>C58/E52</f>
        <v>0.5680622764569746</v>
      </c>
      <c r="D59" s="110"/>
      <c r="E59" s="75"/>
      <c r="F59" s="44"/>
      <c r="G59" s="44"/>
      <c r="H59" s="44"/>
      <c r="I59" s="44"/>
      <c r="J59" s="44"/>
    </row>
    <row r="60" spans="1:10" x14ac:dyDescent="0.25">
      <c r="A60" s="7"/>
      <c r="C60" s="57"/>
    </row>
    <row r="61" spans="1:10" s="9" customFormat="1" ht="15.75" thickBot="1" x14ac:dyDescent="0.3">
      <c r="A61" s="9" t="s">
        <v>376</v>
      </c>
    </row>
    <row r="63" spans="1:10" x14ac:dyDescent="0.25">
      <c r="A63" s="6"/>
      <c r="B63" s="6" t="s">
        <v>61</v>
      </c>
      <c r="C63" s="6" t="s">
        <v>377</v>
      </c>
      <c r="D63" s="6" t="s">
        <v>244</v>
      </c>
      <c r="E63" s="6" t="s">
        <v>378</v>
      </c>
      <c r="F63" s="6" t="s">
        <v>379</v>
      </c>
      <c r="G63" s="7"/>
    </row>
    <row r="64" spans="1:10" ht="29.1" customHeight="1" x14ac:dyDescent="0.25">
      <c r="A64" s="119" t="s">
        <v>380</v>
      </c>
      <c r="B64" s="5" t="s">
        <v>35</v>
      </c>
      <c r="C64" s="122">
        <v>200000</v>
      </c>
      <c r="D64" s="122">
        <v>200000</v>
      </c>
      <c r="E64" s="122">
        <v>200000</v>
      </c>
      <c r="F64" s="122">
        <v>200000</v>
      </c>
      <c r="G64" s="141"/>
    </row>
    <row r="65" spans="1:45" x14ac:dyDescent="0.25">
      <c r="A65" s="5" t="s">
        <v>381</v>
      </c>
      <c r="B65" s="5" t="s">
        <v>69</v>
      </c>
      <c r="C65" s="123">
        <v>0.6</v>
      </c>
      <c r="D65" s="123">
        <v>0.6</v>
      </c>
      <c r="E65" s="123">
        <v>0.6</v>
      </c>
      <c r="F65" s="123">
        <v>0.6</v>
      </c>
      <c r="G65" s="142"/>
    </row>
    <row r="66" spans="1:45" x14ac:dyDescent="0.25">
      <c r="A66" s="5" t="s">
        <v>382</v>
      </c>
      <c r="B66" s="5" t="s">
        <v>69</v>
      </c>
      <c r="C66" s="124">
        <f>1-C65</f>
        <v>0.4</v>
      </c>
      <c r="D66" s="124">
        <f>1-D65</f>
        <v>0.4</v>
      </c>
      <c r="E66" s="124">
        <f>1-E65</f>
        <v>0.4</v>
      </c>
      <c r="F66" s="124">
        <f>1-F65</f>
        <v>0.4</v>
      </c>
      <c r="G66" s="143"/>
    </row>
    <row r="67" spans="1:45" x14ac:dyDescent="0.25">
      <c r="A67" s="5" t="s">
        <v>270</v>
      </c>
      <c r="B67" s="5" t="s">
        <v>35</v>
      </c>
      <c r="C67" s="126">
        <f>'3. large connection'!D129</f>
        <v>10200</v>
      </c>
      <c r="D67" s="126">
        <f>'3. large connection'!E129</f>
        <v>152520</v>
      </c>
      <c r="E67" s="126">
        <f>'3. large connection'!F129</f>
        <v>10200</v>
      </c>
      <c r="F67" s="126">
        <f>'3. large connection'!G129</f>
        <v>10200</v>
      </c>
      <c r="G67" s="140"/>
    </row>
    <row r="68" spans="1:45" x14ac:dyDescent="0.25">
      <c r="A68" s="5" t="s">
        <v>383</v>
      </c>
      <c r="B68" s="5" t="s">
        <v>144</v>
      </c>
      <c r="C68" s="54"/>
      <c r="D68" s="54"/>
      <c r="E68" s="54">
        <v>0.97</v>
      </c>
      <c r="F68" s="54"/>
      <c r="G68" s="109"/>
    </row>
    <row r="71" spans="1:45" s="94" customFormat="1" ht="18" outlineLevel="1" thickBot="1" x14ac:dyDescent="0.35">
      <c r="A71" s="94" t="s">
        <v>384</v>
      </c>
    </row>
    <row r="72" spans="1:45" ht="15.75" thickTop="1" x14ac:dyDescent="0.25"/>
    <row r="74" spans="1:45" ht="30" outlineLevel="1" x14ac:dyDescent="0.25">
      <c r="A74" s="53" t="s">
        <v>385</v>
      </c>
      <c r="B74" s="6" t="s">
        <v>61</v>
      </c>
      <c r="C74" s="225" t="s">
        <v>32</v>
      </c>
      <c r="D74" s="225"/>
      <c r="E74" s="225"/>
      <c r="F74" s="225"/>
      <c r="G74" s="225"/>
      <c r="H74" s="225"/>
      <c r="I74" s="225" t="s">
        <v>33</v>
      </c>
      <c r="J74" s="225"/>
      <c r="K74" s="225"/>
      <c r="L74" s="225"/>
      <c r="M74" s="225"/>
      <c r="N74" s="225"/>
      <c r="O74" s="6">
        <v>2026</v>
      </c>
      <c r="P74" s="6">
        <f>O74+1</f>
        <v>2027</v>
      </c>
      <c r="Q74" s="6">
        <f t="shared" ref="Q74:AS74" si="0">P74+1</f>
        <v>2028</v>
      </c>
      <c r="R74" s="6">
        <f t="shared" si="0"/>
        <v>2029</v>
      </c>
      <c r="S74" s="6">
        <f t="shared" si="0"/>
        <v>2030</v>
      </c>
      <c r="T74" s="6">
        <f t="shared" si="0"/>
        <v>2031</v>
      </c>
      <c r="U74" s="6">
        <f t="shared" si="0"/>
        <v>2032</v>
      </c>
      <c r="V74" s="6">
        <f t="shared" si="0"/>
        <v>2033</v>
      </c>
      <c r="W74" s="6">
        <f t="shared" si="0"/>
        <v>2034</v>
      </c>
      <c r="X74" s="6">
        <f t="shared" si="0"/>
        <v>2035</v>
      </c>
      <c r="Y74" s="6">
        <f t="shared" si="0"/>
        <v>2036</v>
      </c>
      <c r="Z74" s="6">
        <f t="shared" si="0"/>
        <v>2037</v>
      </c>
      <c r="AA74" s="6">
        <f t="shared" si="0"/>
        <v>2038</v>
      </c>
      <c r="AB74" s="6">
        <f t="shared" si="0"/>
        <v>2039</v>
      </c>
      <c r="AC74" s="6">
        <f t="shared" si="0"/>
        <v>2040</v>
      </c>
      <c r="AD74" s="6">
        <f t="shared" si="0"/>
        <v>2041</v>
      </c>
      <c r="AE74" s="6">
        <f t="shared" si="0"/>
        <v>2042</v>
      </c>
      <c r="AF74" s="6">
        <f t="shared" si="0"/>
        <v>2043</v>
      </c>
      <c r="AG74" s="6">
        <f t="shared" si="0"/>
        <v>2044</v>
      </c>
      <c r="AH74" s="6">
        <f t="shared" si="0"/>
        <v>2045</v>
      </c>
      <c r="AI74" s="6">
        <f t="shared" si="0"/>
        <v>2046</v>
      </c>
      <c r="AJ74" s="6">
        <f t="shared" si="0"/>
        <v>2047</v>
      </c>
      <c r="AK74" s="6">
        <f t="shared" si="0"/>
        <v>2048</v>
      </c>
      <c r="AL74" s="6">
        <f t="shared" si="0"/>
        <v>2049</v>
      </c>
      <c r="AM74" s="6">
        <f t="shared" si="0"/>
        <v>2050</v>
      </c>
      <c r="AN74" s="6">
        <f t="shared" si="0"/>
        <v>2051</v>
      </c>
      <c r="AO74" s="6">
        <f t="shared" si="0"/>
        <v>2052</v>
      </c>
      <c r="AP74" s="6">
        <f t="shared" si="0"/>
        <v>2053</v>
      </c>
      <c r="AQ74" s="6">
        <f t="shared" si="0"/>
        <v>2054</v>
      </c>
      <c r="AR74" s="6">
        <f t="shared" si="0"/>
        <v>2055</v>
      </c>
      <c r="AS74" s="6">
        <f t="shared" si="0"/>
        <v>2056</v>
      </c>
    </row>
    <row r="75" spans="1:45" ht="43.35" customHeight="1" outlineLevel="1" x14ac:dyDescent="0.25">
      <c r="A75" s="5" t="s">
        <v>121</v>
      </c>
      <c r="B75" s="5" t="s">
        <v>144</v>
      </c>
      <c r="C75" s="226" t="s">
        <v>386</v>
      </c>
      <c r="D75" s="226"/>
      <c r="E75" s="226"/>
      <c r="F75" s="226"/>
      <c r="G75" s="226"/>
      <c r="H75" s="226"/>
      <c r="I75" s="226" t="s">
        <v>387</v>
      </c>
      <c r="J75" s="226"/>
      <c r="K75" s="226"/>
      <c r="L75" s="226"/>
      <c r="M75" s="226"/>
      <c r="N75" s="226"/>
      <c r="O75" s="54">
        <v>1</v>
      </c>
      <c r="P75" s="54">
        <v>1</v>
      </c>
      <c r="Q75" s="54">
        <v>1</v>
      </c>
      <c r="R75" s="54">
        <v>1</v>
      </c>
      <c r="S75" s="54">
        <v>1</v>
      </c>
      <c r="T75" s="54">
        <v>1</v>
      </c>
      <c r="U75" s="54">
        <v>1</v>
      </c>
      <c r="V75" s="54">
        <v>1</v>
      </c>
      <c r="W75" s="54">
        <v>1</v>
      </c>
      <c r="X75" s="54">
        <v>1</v>
      </c>
      <c r="Y75" s="54">
        <v>1</v>
      </c>
      <c r="Z75" s="54">
        <v>1</v>
      </c>
      <c r="AA75" s="54">
        <v>1</v>
      </c>
      <c r="AB75" s="54">
        <v>1</v>
      </c>
      <c r="AC75" s="54">
        <v>1</v>
      </c>
      <c r="AD75" s="54">
        <v>1</v>
      </c>
      <c r="AE75" s="54">
        <v>1</v>
      </c>
      <c r="AF75" s="54">
        <v>1</v>
      </c>
      <c r="AG75" s="54">
        <v>1</v>
      </c>
      <c r="AH75" s="54">
        <v>1</v>
      </c>
      <c r="AI75" s="54">
        <v>1</v>
      </c>
      <c r="AJ75" s="54">
        <v>1</v>
      </c>
      <c r="AK75" s="54">
        <v>1</v>
      </c>
      <c r="AL75" s="54">
        <v>1</v>
      </c>
      <c r="AM75" s="54">
        <v>1</v>
      </c>
      <c r="AN75" s="54">
        <v>1</v>
      </c>
      <c r="AO75" s="54">
        <v>1</v>
      </c>
      <c r="AP75" s="54">
        <v>1</v>
      </c>
      <c r="AQ75" s="54">
        <v>1</v>
      </c>
      <c r="AR75" s="54">
        <v>1</v>
      </c>
      <c r="AS75" s="54">
        <v>1</v>
      </c>
    </row>
    <row r="76" spans="1:45" ht="43.35" customHeight="1" outlineLevel="1" x14ac:dyDescent="0.25">
      <c r="A76" s="5" t="s">
        <v>122</v>
      </c>
      <c r="B76" s="5" t="s">
        <v>144</v>
      </c>
      <c r="C76" s="226" t="s">
        <v>386</v>
      </c>
      <c r="D76" s="226"/>
      <c r="E76" s="226"/>
      <c r="F76" s="226"/>
      <c r="G76" s="226"/>
      <c r="H76" s="226"/>
      <c r="I76" s="226" t="s">
        <v>388</v>
      </c>
      <c r="J76" s="226"/>
      <c r="K76" s="226"/>
      <c r="L76" s="226"/>
      <c r="M76" s="226"/>
      <c r="N76" s="226"/>
      <c r="O76" s="35">
        <f>O75</f>
        <v>1</v>
      </c>
      <c r="P76" s="35">
        <f t="shared" ref="P76:AS76" si="1">P75</f>
        <v>1</v>
      </c>
      <c r="Q76" s="35">
        <f t="shared" si="1"/>
        <v>1</v>
      </c>
      <c r="R76" s="35">
        <f t="shared" si="1"/>
        <v>1</v>
      </c>
      <c r="S76" s="35">
        <f t="shared" si="1"/>
        <v>1</v>
      </c>
      <c r="T76" s="35">
        <f t="shared" si="1"/>
        <v>1</v>
      </c>
      <c r="U76" s="35">
        <f t="shared" si="1"/>
        <v>1</v>
      </c>
      <c r="V76" s="35">
        <f t="shared" si="1"/>
        <v>1</v>
      </c>
      <c r="W76" s="35">
        <f t="shared" si="1"/>
        <v>1</v>
      </c>
      <c r="X76" s="35">
        <f t="shared" si="1"/>
        <v>1</v>
      </c>
      <c r="Y76" s="35">
        <f t="shared" si="1"/>
        <v>1</v>
      </c>
      <c r="Z76" s="35">
        <f t="shared" si="1"/>
        <v>1</v>
      </c>
      <c r="AA76" s="35">
        <f t="shared" si="1"/>
        <v>1</v>
      </c>
      <c r="AB76" s="35">
        <f t="shared" si="1"/>
        <v>1</v>
      </c>
      <c r="AC76" s="35">
        <f t="shared" si="1"/>
        <v>1</v>
      </c>
      <c r="AD76" s="35">
        <f t="shared" si="1"/>
        <v>1</v>
      </c>
      <c r="AE76" s="35">
        <f t="shared" si="1"/>
        <v>1</v>
      </c>
      <c r="AF76" s="35">
        <f t="shared" si="1"/>
        <v>1</v>
      </c>
      <c r="AG76" s="35">
        <f t="shared" si="1"/>
        <v>1</v>
      </c>
      <c r="AH76" s="35">
        <f t="shared" si="1"/>
        <v>1</v>
      </c>
      <c r="AI76" s="35">
        <f t="shared" si="1"/>
        <v>1</v>
      </c>
      <c r="AJ76" s="35">
        <f t="shared" si="1"/>
        <v>1</v>
      </c>
      <c r="AK76" s="35">
        <f t="shared" si="1"/>
        <v>1</v>
      </c>
      <c r="AL76" s="35">
        <f t="shared" si="1"/>
        <v>1</v>
      </c>
      <c r="AM76" s="35">
        <f t="shared" si="1"/>
        <v>1</v>
      </c>
      <c r="AN76" s="35">
        <f t="shared" si="1"/>
        <v>1</v>
      </c>
      <c r="AO76" s="35">
        <f t="shared" si="1"/>
        <v>1</v>
      </c>
      <c r="AP76" s="35">
        <f t="shared" si="1"/>
        <v>1</v>
      </c>
      <c r="AQ76" s="35">
        <f t="shared" si="1"/>
        <v>1</v>
      </c>
      <c r="AR76" s="35">
        <f t="shared" si="1"/>
        <v>1</v>
      </c>
      <c r="AS76" s="35">
        <f t="shared" si="1"/>
        <v>1</v>
      </c>
    </row>
    <row r="77" spans="1:45" ht="43.35" customHeight="1" outlineLevel="1" x14ac:dyDescent="0.25">
      <c r="A77" s="5" t="s">
        <v>123</v>
      </c>
      <c r="B77" s="5" t="s">
        <v>144</v>
      </c>
      <c r="C77" s="226" t="s">
        <v>389</v>
      </c>
      <c r="D77" s="226"/>
      <c r="E77" s="226"/>
      <c r="F77" s="226"/>
      <c r="G77" s="226"/>
      <c r="H77" s="226"/>
      <c r="I77" s="226" t="s">
        <v>387</v>
      </c>
      <c r="J77" s="226"/>
      <c r="K77" s="226"/>
      <c r="L77" s="226"/>
      <c r="M77" s="226"/>
      <c r="N77" s="226"/>
      <c r="O77" s="54">
        <v>1</v>
      </c>
      <c r="P77" s="54">
        <v>1</v>
      </c>
      <c r="Q77" s="54">
        <v>1</v>
      </c>
      <c r="R77" s="54">
        <v>1</v>
      </c>
      <c r="S77" s="54">
        <v>1</v>
      </c>
      <c r="T77" s="54">
        <v>1</v>
      </c>
      <c r="U77" s="54">
        <v>1</v>
      </c>
      <c r="V77" s="54">
        <v>1</v>
      </c>
      <c r="W77" s="54">
        <v>1</v>
      </c>
      <c r="X77" s="54">
        <v>1</v>
      </c>
      <c r="Y77" s="54">
        <v>1</v>
      </c>
      <c r="Z77" s="54">
        <v>1</v>
      </c>
      <c r="AA77" s="54">
        <v>1</v>
      </c>
      <c r="AB77" s="54">
        <v>1</v>
      </c>
      <c r="AC77" s="54">
        <v>1</v>
      </c>
      <c r="AD77" s="54">
        <v>1</v>
      </c>
      <c r="AE77" s="54">
        <v>1</v>
      </c>
      <c r="AF77" s="54">
        <v>1</v>
      </c>
      <c r="AG77" s="54">
        <v>1</v>
      </c>
      <c r="AH77" s="54">
        <v>1</v>
      </c>
      <c r="AI77" s="54">
        <v>1</v>
      </c>
      <c r="AJ77" s="54">
        <v>1</v>
      </c>
      <c r="AK77" s="54">
        <v>1</v>
      </c>
      <c r="AL77" s="54">
        <v>1</v>
      </c>
      <c r="AM77" s="54">
        <v>1</v>
      </c>
      <c r="AN77" s="54">
        <v>1</v>
      </c>
      <c r="AO77" s="54">
        <v>1</v>
      </c>
      <c r="AP77" s="54">
        <v>1</v>
      </c>
      <c r="AQ77" s="54">
        <v>1</v>
      </c>
      <c r="AR77" s="54">
        <v>1</v>
      </c>
      <c r="AS77" s="54">
        <v>1</v>
      </c>
    </row>
    <row r="78" spans="1:45" ht="43.35" customHeight="1" outlineLevel="1" x14ac:dyDescent="0.25">
      <c r="A78" s="5" t="s">
        <v>225</v>
      </c>
      <c r="B78" s="5" t="s">
        <v>144</v>
      </c>
      <c r="C78" s="226" t="s">
        <v>389</v>
      </c>
      <c r="D78" s="226"/>
      <c r="E78" s="226"/>
      <c r="F78" s="226"/>
      <c r="G78" s="226"/>
      <c r="H78" s="226"/>
      <c r="I78" s="226" t="s">
        <v>390</v>
      </c>
      <c r="J78" s="226"/>
      <c r="K78" s="226"/>
      <c r="L78" s="226"/>
      <c r="M78" s="226"/>
      <c r="N78" s="226"/>
      <c r="O78" s="35">
        <f>O77</f>
        <v>1</v>
      </c>
      <c r="P78" s="35">
        <f t="shared" ref="P78:AS78" si="2">P77</f>
        <v>1</v>
      </c>
      <c r="Q78" s="35">
        <f t="shared" si="2"/>
        <v>1</v>
      </c>
      <c r="R78" s="35">
        <f t="shared" si="2"/>
        <v>1</v>
      </c>
      <c r="S78" s="35">
        <f t="shared" si="2"/>
        <v>1</v>
      </c>
      <c r="T78" s="35">
        <f t="shared" si="2"/>
        <v>1</v>
      </c>
      <c r="U78" s="35">
        <f t="shared" si="2"/>
        <v>1</v>
      </c>
      <c r="V78" s="35">
        <f t="shared" si="2"/>
        <v>1</v>
      </c>
      <c r="W78" s="35">
        <f t="shared" si="2"/>
        <v>1</v>
      </c>
      <c r="X78" s="35">
        <f t="shared" si="2"/>
        <v>1</v>
      </c>
      <c r="Y78" s="35">
        <f t="shared" si="2"/>
        <v>1</v>
      </c>
      <c r="Z78" s="35">
        <f t="shared" si="2"/>
        <v>1</v>
      </c>
      <c r="AA78" s="35">
        <f t="shared" si="2"/>
        <v>1</v>
      </c>
      <c r="AB78" s="35">
        <f t="shared" si="2"/>
        <v>1</v>
      </c>
      <c r="AC78" s="35">
        <f t="shared" si="2"/>
        <v>1</v>
      </c>
      <c r="AD78" s="35">
        <f t="shared" si="2"/>
        <v>1</v>
      </c>
      <c r="AE78" s="35">
        <f t="shared" si="2"/>
        <v>1</v>
      </c>
      <c r="AF78" s="35">
        <f t="shared" si="2"/>
        <v>1</v>
      </c>
      <c r="AG78" s="35">
        <f t="shared" si="2"/>
        <v>1</v>
      </c>
      <c r="AH78" s="35">
        <f t="shared" si="2"/>
        <v>1</v>
      </c>
      <c r="AI78" s="35">
        <f t="shared" si="2"/>
        <v>1</v>
      </c>
      <c r="AJ78" s="35">
        <f t="shared" si="2"/>
        <v>1</v>
      </c>
      <c r="AK78" s="35">
        <f t="shared" si="2"/>
        <v>1</v>
      </c>
      <c r="AL78" s="35">
        <f t="shared" si="2"/>
        <v>1</v>
      </c>
      <c r="AM78" s="35">
        <f t="shared" si="2"/>
        <v>1</v>
      </c>
      <c r="AN78" s="35">
        <f t="shared" si="2"/>
        <v>1</v>
      </c>
      <c r="AO78" s="35">
        <f t="shared" si="2"/>
        <v>1</v>
      </c>
      <c r="AP78" s="35">
        <f t="shared" si="2"/>
        <v>1</v>
      </c>
      <c r="AQ78" s="35">
        <f t="shared" si="2"/>
        <v>1</v>
      </c>
      <c r="AR78" s="35">
        <f t="shared" si="2"/>
        <v>1</v>
      </c>
      <c r="AS78" s="35">
        <f t="shared" si="2"/>
        <v>1</v>
      </c>
    </row>
    <row r="79" spans="1:45" ht="43.35" customHeight="1" outlineLevel="1" x14ac:dyDescent="0.25">
      <c r="A79" s="5" t="s">
        <v>226</v>
      </c>
      <c r="B79" s="5" t="s">
        <v>144</v>
      </c>
      <c r="C79" s="226" t="s">
        <v>389</v>
      </c>
      <c r="D79" s="226"/>
      <c r="E79" s="226"/>
      <c r="F79" s="226"/>
      <c r="G79" s="226"/>
      <c r="H79" s="226"/>
      <c r="I79" s="226" t="s">
        <v>390</v>
      </c>
      <c r="J79" s="226"/>
      <c r="K79" s="226"/>
      <c r="L79" s="226"/>
      <c r="M79" s="226"/>
      <c r="N79" s="226"/>
      <c r="O79" s="35">
        <f>O78</f>
        <v>1</v>
      </c>
      <c r="P79" s="35">
        <f t="shared" ref="P79" si="3">P78</f>
        <v>1</v>
      </c>
      <c r="Q79" s="35">
        <f t="shared" ref="Q79" si="4">Q78</f>
        <v>1</v>
      </c>
      <c r="R79" s="35">
        <f t="shared" ref="R79" si="5">R78</f>
        <v>1</v>
      </c>
      <c r="S79" s="35">
        <f t="shared" ref="S79" si="6">S78</f>
        <v>1</v>
      </c>
      <c r="T79" s="35">
        <f t="shared" ref="T79" si="7">T78</f>
        <v>1</v>
      </c>
      <c r="U79" s="35">
        <f t="shared" ref="U79" si="8">U78</f>
        <v>1</v>
      </c>
      <c r="V79" s="35">
        <f t="shared" ref="V79" si="9">V78</f>
        <v>1</v>
      </c>
      <c r="W79" s="35">
        <f t="shared" ref="W79" si="10">W78</f>
        <v>1</v>
      </c>
      <c r="X79" s="35">
        <f t="shared" ref="X79" si="11">X78</f>
        <v>1</v>
      </c>
      <c r="Y79" s="35">
        <f t="shared" ref="Y79" si="12">Y78</f>
        <v>1</v>
      </c>
      <c r="Z79" s="35">
        <f t="shared" ref="Z79" si="13">Z78</f>
        <v>1</v>
      </c>
      <c r="AA79" s="35">
        <f t="shared" ref="AA79" si="14">AA78</f>
        <v>1</v>
      </c>
      <c r="AB79" s="35">
        <f t="shared" ref="AB79" si="15">AB78</f>
        <v>1</v>
      </c>
      <c r="AC79" s="35">
        <f t="shared" ref="AC79" si="16">AC78</f>
        <v>1</v>
      </c>
      <c r="AD79" s="35">
        <f t="shared" ref="AD79" si="17">AD78</f>
        <v>1</v>
      </c>
      <c r="AE79" s="35">
        <f t="shared" ref="AE79" si="18">AE78</f>
        <v>1</v>
      </c>
      <c r="AF79" s="35">
        <f t="shared" ref="AF79" si="19">AF78</f>
        <v>1</v>
      </c>
      <c r="AG79" s="35">
        <f t="shared" ref="AG79" si="20">AG78</f>
        <v>1</v>
      </c>
      <c r="AH79" s="35">
        <f t="shared" ref="AH79" si="21">AH78</f>
        <v>1</v>
      </c>
      <c r="AI79" s="35">
        <f t="shared" ref="AI79" si="22">AI78</f>
        <v>1</v>
      </c>
      <c r="AJ79" s="35">
        <f t="shared" ref="AJ79" si="23">AJ78</f>
        <v>1</v>
      </c>
      <c r="AK79" s="35">
        <f t="shared" ref="AK79" si="24">AK78</f>
        <v>1</v>
      </c>
      <c r="AL79" s="35">
        <f t="shared" ref="AL79" si="25">AL78</f>
        <v>1</v>
      </c>
      <c r="AM79" s="35">
        <f t="shared" ref="AM79" si="26">AM78</f>
        <v>1</v>
      </c>
      <c r="AN79" s="35">
        <f t="shared" ref="AN79" si="27">AN78</f>
        <v>1</v>
      </c>
      <c r="AO79" s="35">
        <f t="shared" ref="AO79" si="28">AO78</f>
        <v>1</v>
      </c>
      <c r="AP79" s="35">
        <f t="shared" ref="AP79" si="29">AP78</f>
        <v>1</v>
      </c>
      <c r="AQ79" s="35">
        <f t="shared" ref="AQ79" si="30">AQ78</f>
        <v>1</v>
      </c>
      <c r="AR79" s="35">
        <f t="shared" ref="AR79" si="31">AR78</f>
        <v>1</v>
      </c>
      <c r="AS79" s="35">
        <f t="shared" ref="AS79" si="32">AS78</f>
        <v>1</v>
      </c>
    </row>
    <row r="80" spans="1:45" ht="43.35" customHeight="1" outlineLevel="1" x14ac:dyDescent="0.25">
      <c r="A80" s="5" t="s">
        <v>285</v>
      </c>
      <c r="B80" s="5" t="s">
        <v>144</v>
      </c>
      <c r="C80" s="226" t="s">
        <v>389</v>
      </c>
      <c r="D80" s="226"/>
      <c r="E80" s="226"/>
      <c r="F80" s="226"/>
      <c r="G80" s="226"/>
      <c r="H80" s="226"/>
      <c r="I80" s="226" t="s">
        <v>391</v>
      </c>
      <c r="J80" s="226"/>
      <c r="K80" s="226"/>
      <c r="L80" s="226"/>
      <c r="M80" s="226"/>
      <c r="N80" s="226"/>
      <c r="O80" s="54">
        <v>1</v>
      </c>
      <c r="P80" s="54">
        <v>1</v>
      </c>
      <c r="Q80" s="54">
        <v>1</v>
      </c>
      <c r="R80" s="54">
        <v>1</v>
      </c>
      <c r="S80" s="54">
        <v>1</v>
      </c>
      <c r="T80" s="54">
        <v>1</v>
      </c>
      <c r="U80" s="54">
        <v>1</v>
      </c>
      <c r="V80" s="54">
        <v>1</v>
      </c>
      <c r="W80" s="54">
        <v>1</v>
      </c>
      <c r="X80" s="54">
        <v>1</v>
      </c>
      <c r="Y80" s="54">
        <v>1</v>
      </c>
      <c r="Z80" s="54">
        <v>1</v>
      </c>
      <c r="AA80" s="54">
        <v>1</v>
      </c>
      <c r="AB80" s="54">
        <v>1</v>
      </c>
      <c r="AC80" s="54">
        <v>1</v>
      </c>
      <c r="AD80" s="54">
        <v>1</v>
      </c>
      <c r="AE80" s="54">
        <v>1</v>
      </c>
      <c r="AF80" s="54">
        <v>1</v>
      </c>
      <c r="AG80" s="54">
        <v>1</v>
      </c>
      <c r="AH80" s="54">
        <v>1</v>
      </c>
      <c r="AI80" s="54">
        <v>1</v>
      </c>
      <c r="AJ80" s="54">
        <v>1</v>
      </c>
      <c r="AK80" s="54">
        <v>1</v>
      </c>
      <c r="AL80" s="54">
        <v>1</v>
      </c>
      <c r="AM80" s="54">
        <v>1</v>
      </c>
      <c r="AN80" s="54">
        <v>1</v>
      </c>
      <c r="AO80" s="54">
        <v>1</v>
      </c>
      <c r="AP80" s="54">
        <v>1</v>
      </c>
      <c r="AQ80" s="54">
        <v>1</v>
      </c>
      <c r="AR80" s="54">
        <v>1</v>
      </c>
      <c r="AS80" s="54">
        <v>1</v>
      </c>
    </row>
    <row r="81" spans="1:45" ht="43.35" customHeight="1" outlineLevel="1" x14ac:dyDescent="0.25">
      <c r="A81" s="5" t="s">
        <v>286</v>
      </c>
      <c r="B81" s="5" t="s">
        <v>144</v>
      </c>
      <c r="C81" s="226" t="s">
        <v>389</v>
      </c>
      <c r="D81" s="226"/>
      <c r="E81" s="226"/>
      <c r="F81" s="226"/>
      <c r="G81" s="226"/>
      <c r="H81" s="226"/>
      <c r="I81" s="226" t="s">
        <v>392</v>
      </c>
      <c r="J81" s="226"/>
      <c r="K81" s="226"/>
      <c r="L81" s="226"/>
      <c r="M81" s="226"/>
      <c r="N81" s="226"/>
      <c r="O81" s="35">
        <f>O$80</f>
        <v>1</v>
      </c>
      <c r="P81" s="35">
        <f t="shared" ref="P81:AS83" si="33">P$80</f>
        <v>1</v>
      </c>
      <c r="Q81" s="35">
        <f t="shared" si="33"/>
        <v>1</v>
      </c>
      <c r="R81" s="35">
        <f t="shared" si="33"/>
        <v>1</v>
      </c>
      <c r="S81" s="35">
        <f t="shared" si="33"/>
        <v>1</v>
      </c>
      <c r="T81" s="35">
        <f t="shared" si="33"/>
        <v>1</v>
      </c>
      <c r="U81" s="35">
        <f t="shared" si="33"/>
        <v>1</v>
      </c>
      <c r="V81" s="35">
        <f t="shared" si="33"/>
        <v>1</v>
      </c>
      <c r="W81" s="35">
        <f t="shared" si="33"/>
        <v>1</v>
      </c>
      <c r="X81" s="35">
        <f t="shared" si="33"/>
        <v>1</v>
      </c>
      <c r="Y81" s="35">
        <f t="shared" si="33"/>
        <v>1</v>
      </c>
      <c r="Z81" s="35">
        <f t="shared" si="33"/>
        <v>1</v>
      </c>
      <c r="AA81" s="35">
        <f t="shared" si="33"/>
        <v>1</v>
      </c>
      <c r="AB81" s="35">
        <f t="shared" si="33"/>
        <v>1</v>
      </c>
      <c r="AC81" s="35">
        <f t="shared" si="33"/>
        <v>1</v>
      </c>
      <c r="AD81" s="35">
        <f t="shared" si="33"/>
        <v>1</v>
      </c>
      <c r="AE81" s="35">
        <f t="shared" si="33"/>
        <v>1</v>
      </c>
      <c r="AF81" s="35">
        <f t="shared" si="33"/>
        <v>1</v>
      </c>
      <c r="AG81" s="35">
        <f t="shared" si="33"/>
        <v>1</v>
      </c>
      <c r="AH81" s="35">
        <f t="shared" si="33"/>
        <v>1</v>
      </c>
      <c r="AI81" s="35">
        <f t="shared" si="33"/>
        <v>1</v>
      </c>
      <c r="AJ81" s="35">
        <f t="shared" si="33"/>
        <v>1</v>
      </c>
      <c r="AK81" s="35">
        <f t="shared" si="33"/>
        <v>1</v>
      </c>
      <c r="AL81" s="35">
        <f t="shared" si="33"/>
        <v>1</v>
      </c>
      <c r="AM81" s="35">
        <f t="shared" si="33"/>
        <v>1</v>
      </c>
      <c r="AN81" s="35">
        <f t="shared" si="33"/>
        <v>1</v>
      </c>
      <c r="AO81" s="35">
        <f t="shared" si="33"/>
        <v>1</v>
      </c>
      <c r="AP81" s="35">
        <f t="shared" si="33"/>
        <v>1</v>
      </c>
      <c r="AQ81" s="35">
        <f t="shared" si="33"/>
        <v>1</v>
      </c>
      <c r="AR81" s="35">
        <f t="shared" si="33"/>
        <v>1</v>
      </c>
      <c r="AS81" s="35">
        <f t="shared" si="33"/>
        <v>1</v>
      </c>
    </row>
    <row r="82" spans="1:45" ht="43.35" customHeight="1" outlineLevel="1" x14ac:dyDescent="0.25">
      <c r="A82" s="5" t="s">
        <v>287</v>
      </c>
      <c r="B82" s="5" t="s">
        <v>144</v>
      </c>
      <c r="C82" s="226" t="s">
        <v>389</v>
      </c>
      <c r="D82" s="226"/>
      <c r="E82" s="226"/>
      <c r="F82" s="226"/>
      <c r="G82" s="226"/>
      <c r="H82" s="226"/>
      <c r="I82" s="226" t="s">
        <v>392</v>
      </c>
      <c r="J82" s="226"/>
      <c r="K82" s="226"/>
      <c r="L82" s="226"/>
      <c r="M82" s="226"/>
      <c r="N82" s="226"/>
      <c r="O82" s="35">
        <f t="shared" ref="O82:AD83" si="34">O$80</f>
        <v>1</v>
      </c>
      <c r="P82" s="35">
        <f t="shared" si="34"/>
        <v>1</v>
      </c>
      <c r="Q82" s="35">
        <f t="shared" si="34"/>
        <v>1</v>
      </c>
      <c r="R82" s="35">
        <f t="shared" si="34"/>
        <v>1</v>
      </c>
      <c r="S82" s="35">
        <f t="shared" si="34"/>
        <v>1</v>
      </c>
      <c r="T82" s="35">
        <f t="shared" si="34"/>
        <v>1</v>
      </c>
      <c r="U82" s="35">
        <f t="shared" si="34"/>
        <v>1</v>
      </c>
      <c r="V82" s="35">
        <f t="shared" si="34"/>
        <v>1</v>
      </c>
      <c r="W82" s="35">
        <f t="shared" si="34"/>
        <v>1</v>
      </c>
      <c r="X82" s="35">
        <f t="shared" si="34"/>
        <v>1</v>
      </c>
      <c r="Y82" s="35">
        <f t="shared" si="34"/>
        <v>1</v>
      </c>
      <c r="Z82" s="35">
        <f t="shared" si="34"/>
        <v>1</v>
      </c>
      <c r="AA82" s="35">
        <f t="shared" si="34"/>
        <v>1</v>
      </c>
      <c r="AB82" s="35">
        <f t="shared" si="34"/>
        <v>1</v>
      </c>
      <c r="AC82" s="35">
        <f t="shared" si="34"/>
        <v>1</v>
      </c>
      <c r="AD82" s="35">
        <f t="shared" si="34"/>
        <v>1</v>
      </c>
      <c r="AE82" s="35">
        <f t="shared" si="33"/>
        <v>1</v>
      </c>
      <c r="AF82" s="35">
        <f t="shared" si="33"/>
        <v>1</v>
      </c>
      <c r="AG82" s="35">
        <f t="shared" si="33"/>
        <v>1</v>
      </c>
      <c r="AH82" s="35">
        <f t="shared" si="33"/>
        <v>1</v>
      </c>
      <c r="AI82" s="35">
        <f t="shared" si="33"/>
        <v>1</v>
      </c>
      <c r="AJ82" s="35">
        <f t="shared" si="33"/>
        <v>1</v>
      </c>
      <c r="AK82" s="35">
        <f t="shared" si="33"/>
        <v>1</v>
      </c>
      <c r="AL82" s="35">
        <f t="shared" si="33"/>
        <v>1</v>
      </c>
      <c r="AM82" s="35">
        <f t="shared" si="33"/>
        <v>1</v>
      </c>
      <c r="AN82" s="35">
        <f t="shared" si="33"/>
        <v>1</v>
      </c>
      <c r="AO82" s="35">
        <f t="shared" si="33"/>
        <v>1</v>
      </c>
      <c r="AP82" s="35">
        <f t="shared" si="33"/>
        <v>1</v>
      </c>
      <c r="AQ82" s="35">
        <f t="shared" si="33"/>
        <v>1</v>
      </c>
      <c r="AR82" s="35">
        <f t="shared" si="33"/>
        <v>1</v>
      </c>
      <c r="AS82" s="35">
        <f t="shared" si="33"/>
        <v>1</v>
      </c>
    </row>
    <row r="83" spans="1:45" ht="43.35" customHeight="1" outlineLevel="1" x14ac:dyDescent="0.25">
      <c r="A83" s="5" t="s">
        <v>288</v>
      </c>
      <c r="B83" s="5" t="s">
        <v>144</v>
      </c>
      <c r="C83" s="226" t="s">
        <v>389</v>
      </c>
      <c r="D83" s="226"/>
      <c r="E83" s="226"/>
      <c r="F83" s="226"/>
      <c r="G83" s="226"/>
      <c r="H83" s="226"/>
      <c r="I83" s="226" t="s">
        <v>392</v>
      </c>
      <c r="J83" s="226"/>
      <c r="K83" s="226"/>
      <c r="L83" s="226"/>
      <c r="M83" s="226"/>
      <c r="N83" s="226"/>
      <c r="O83" s="35">
        <f t="shared" si="34"/>
        <v>1</v>
      </c>
      <c r="P83" s="35">
        <f t="shared" si="33"/>
        <v>1</v>
      </c>
      <c r="Q83" s="35">
        <f t="shared" si="33"/>
        <v>1</v>
      </c>
      <c r="R83" s="35">
        <f t="shared" si="33"/>
        <v>1</v>
      </c>
      <c r="S83" s="35">
        <f t="shared" si="33"/>
        <v>1</v>
      </c>
      <c r="T83" s="35">
        <f t="shared" si="33"/>
        <v>1</v>
      </c>
      <c r="U83" s="35">
        <f t="shared" si="33"/>
        <v>1</v>
      </c>
      <c r="V83" s="35">
        <f t="shared" si="33"/>
        <v>1</v>
      </c>
      <c r="W83" s="35">
        <f t="shared" si="33"/>
        <v>1</v>
      </c>
      <c r="X83" s="35">
        <f t="shared" si="33"/>
        <v>1</v>
      </c>
      <c r="Y83" s="35">
        <f t="shared" si="33"/>
        <v>1</v>
      </c>
      <c r="Z83" s="35">
        <f t="shared" si="33"/>
        <v>1</v>
      </c>
      <c r="AA83" s="35">
        <f t="shared" si="33"/>
        <v>1</v>
      </c>
      <c r="AB83" s="35">
        <f t="shared" si="33"/>
        <v>1</v>
      </c>
      <c r="AC83" s="35">
        <f t="shared" si="33"/>
        <v>1</v>
      </c>
      <c r="AD83" s="35">
        <f t="shared" si="33"/>
        <v>1</v>
      </c>
      <c r="AE83" s="35">
        <f t="shared" si="33"/>
        <v>1</v>
      </c>
      <c r="AF83" s="35">
        <f t="shared" si="33"/>
        <v>1</v>
      </c>
      <c r="AG83" s="35">
        <f t="shared" si="33"/>
        <v>1</v>
      </c>
      <c r="AH83" s="35">
        <f t="shared" si="33"/>
        <v>1</v>
      </c>
      <c r="AI83" s="35">
        <f t="shared" si="33"/>
        <v>1</v>
      </c>
      <c r="AJ83" s="35">
        <f t="shared" si="33"/>
        <v>1</v>
      </c>
      <c r="AK83" s="35">
        <f t="shared" si="33"/>
        <v>1</v>
      </c>
      <c r="AL83" s="35">
        <f t="shared" si="33"/>
        <v>1</v>
      </c>
      <c r="AM83" s="35">
        <f t="shared" si="33"/>
        <v>1</v>
      </c>
      <c r="AN83" s="35">
        <f t="shared" si="33"/>
        <v>1</v>
      </c>
      <c r="AO83" s="35">
        <f t="shared" si="33"/>
        <v>1</v>
      </c>
      <c r="AP83" s="35">
        <f t="shared" si="33"/>
        <v>1</v>
      </c>
      <c r="AQ83" s="35">
        <f t="shared" si="33"/>
        <v>1</v>
      </c>
      <c r="AR83" s="35">
        <f t="shared" si="33"/>
        <v>1</v>
      </c>
      <c r="AS83" s="35">
        <f t="shared" si="33"/>
        <v>1</v>
      </c>
    </row>
    <row r="84" spans="1:45" ht="43.35" customHeight="1" outlineLevel="1" x14ac:dyDescent="0.25">
      <c r="C84" s="44"/>
      <c r="D84" s="44"/>
      <c r="E84" s="44"/>
      <c r="F84" s="44"/>
      <c r="G84" s="44"/>
      <c r="H84" s="44"/>
      <c r="I84" s="44"/>
      <c r="J84" s="44"/>
      <c r="K84" s="44"/>
      <c r="L84" s="44"/>
      <c r="M84" s="44"/>
      <c r="N84" s="44"/>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row>
    <row r="85" spans="1:45" ht="14.45" customHeight="1" outlineLevel="1" x14ac:dyDescent="0.25">
      <c r="C85" s="47"/>
      <c r="D85" s="47"/>
      <c r="E85" s="47"/>
      <c r="F85" s="58"/>
      <c r="G85" s="58"/>
      <c r="H85" s="58"/>
      <c r="I85" s="44"/>
      <c r="J85" s="44"/>
      <c r="K85" s="44"/>
      <c r="L85" s="58"/>
      <c r="M85" s="58"/>
      <c r="N85" s="58"/>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row>
    <row r="86" spans="1:45" ht="14.45" customHeight="1" outlineLevel="1" x14ac:dyDescent="0.25">
      <c r="C86" s="47"/>
      <c r="D86" s="47"/>
      <c r="E86" s="47"/>
      <c r="F86" s="58"/>
      <c r="G86" s="58"/>
      <c r="H86" s="58"/>
      <c r="I86" s="44"/>
      <c r="J86" s="44"/>
      <c r="K86" s="44"/>
      <c r="L86" s="58"/>
      <c r="M86" s="58"/>
      <c r="N86" s="58"/>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row>
    <row r="87" spans="1:45" ht="29.1" customHeight="1" outlineLevel="1" x14ac:dyDescent="0.25">
      <c r="A87" s="53" t="s">
        <v>393</v>
      </c>
      <c r="B87" s="6" t="s">
        <v>61</v>
      </c>
      <c r="C87" s="225" t="s">
        <v>32</v>
      </c>
      <c r="D87" s="225"/>
      <c r="E87" s="225"/>
      <c r="F87" s="225"/>
      <c r="G87" s="225"/>
      <c r="H87" s="225"/>
      <c r="I87" s="225" t="s">
        <v>33</v>
      </c>
      <c r="J87" s="225"/>
      <c r="K87" s="225"/>
      <c r="L87" s="225"/>
      <c r="M87" s="225"/>
      <c r="N87" s="225"/>
      <c r="O87" s="6">
        <v>2026</v>
      </c>
      <c r="P87" s="6">
        <f>O87+1</f>
        <v>2027</v>
      </c>
      <c r="Q87" s="6">
        <f t="shared" ref="Q87:AS87" si="35">P87+1</f>
        <v>2028</v>
      </c>
      <c r="R87" s="6">
        <f t="shared" si="35"/>
        <v>2029</v>
      </c>
      <c r="S87" s="6">
        <f t="shared" si="35"/>
        <v>2030</v>
      </c>
      <c r="T87" s="6">
        <f t="shared" si="35"/>
        <v>2031</v>
      </c>
      <c r="U87" s="6">
        <f t="shared" si="35"/>
        <v>2032</v>
      </c>
      <c r="V87" s="6">
        <f t="shared" si="35"/>
        <v>2033</v>
      </c>
      <c r="W87" s="6">
        <f t="shared" si="35"/>
        <v>2034</v>
      </c>
      <c r="X87" s="6">
        <f t="shared" si="35"/>
        <v>2035</v>
      </c>
      <c r="Y87" s="6">
        <f t="shared" si="35"/>
        <v>2036</v>
      </c>
      <c r="Z87" s="6">
        <f t="shared" si="35"/>
        <v>2037</v>
      </c>
      <c r="AA87" s="6">
        <f t="shared" si="35"/>
        <v>2038</v>
      </c>
      <c r="AB87" s="6">
        <f t="shared" si="35"/>
        <v>2039</v>
      </c>
      <c r="AC87" s="6">
        <f t="shared" si="35"/>
        <v>2040</v>
      </c>
      <c r="AD87" s="6">
        <f t="shared" si="35"/>
        <v>2041</v>
      </c>
      <c r="AE87" s="6">
        <f t="shared" si="35"/>
        <v>2042</v>
      </c>
      <c r="AF87" s="6">
        <f t="shared" si="35"/>
        <v>2043</v>
      </c>
      <c r="AG87" s="6">
        <f t="shared" si="35"/>
        <v>2044</v>
      </c>
      <c r="AH87" s="6">
        <f t="shared" si="35"/>
        <v>2045</v>
      </c>
      <c r="AI87" s="6">
        <f t="shared" si="35"/>
        <v>2046</v>
      </c>
      <c r="AJ87" s="6">
        <f t="shared" si="35"/>
        <v>2047</v>
      </c>
      <c r="AK87" s="6">
        <f t="shared" si="35"/>
        <v>2048</v>
      </c>
      <c r="AL87" s="6">
        <f t="shared" si="35"/>
        <v>2049</v>
      </c>
      <c r="AM87" s="6">
        <f t="shared" si="35"/>
        <v>2050</v>
      </c>
      <c r="AN87" s="6">
        <f t="shared" si="35"/>
        <v>2051</v>
      </c>
      <c r="AO87" s="6">
        <f t="shared" si="35"/>
        <v>2052</v>
      </c>
      <c r="AP87" s="6">
        <f t="shared" si="35"/>
        <v>2053</v>
      </c>
      <c r="AQ87" s="6">
        <f t="shared" si="35"/>
        <v>2054</v>
      </c>
      <c r="AR87" s="6">
        <f t="shared" si="35"/>
        <v>2055</v>
      </c>
      <c r="AS87" s="6">
        <f t="shared" si="35"/>
        <v>2056</v>
      </c>
    </row>
    <row r="88" spans="1:45" ht="57.6" customHeight="1" x14ac:dyDescent="0.25">
      <c r="A88" s="5" t="s">
        <v>121</v>
      </c>
      <c r="B88" s="5" t="s">
        <v>144</v>
      </c>
      <c r="C88" s="226" t="s">
        <v>394</v>
      </c>
      <c r="D88" s="226"/>
      <c r="E88" s="226"/>
      <c r="F88" s="226"/>
      <c r="G88" s="226"/>
      <c r="H88" s="226"/>
      <c r="I88" s="226" t="s">
        <v>395</v>
      </c>
      <c r="J88" s="226"/>
      <c r="K88" s="226"/>
      <c r="L88" s="226"/>
      <c r="M88" s="226"/>
      <c r="N88" s="226"/>
      <c r="O88" s="54">
        <v>1</v>
      </c>
      <c r="P88" s="54">
        <v>0.97</v>
      </c>
      <c r="Q88" s="54">
        <v>0.94</v>
      </c>
      <c r="R88" s="54">
        <v>0.9</v>
      </c>
      <c r="S88" s="54">
        <v>0.87</v>
      </c>
      <c r="T88" s="54">
        <v>0.84</v>
      </c>
      <c r="U88" s="54">
        <v>0.84</v>
      </c>
      <c r="V88" s="54">
        <v>0.84</v>
      </c>
      <c r="W88" s="54">
        <v>0.84</v>
      </c>
      <c r="X88" s="54">
        <v>0.84</v>
      </c>
      <c r="Y88" s="54">
        <v>0.84</v>
      </c>
      <c r="Z88" s="54">
        <v>0.84</v>
      </c>
      <c r="AA88" s="54">
        <v>0.84</v>
      </c>
      <c r="AB88" s="54">
        <v>0.84</v>
      </c>
      <c r="AC88" s="54">
        <v>0.84</v>
      </c>
      <c r="AD88" s="54">
        <v>0.84</v>
      </c>
      <c r="AE88" s="54">
        <v>0.84</v>
      </c>
      <c r="AF88" s="54">
        <v>0.84</v>
      </c>
      <c r="AG88" s="54">
        <v>0.84</v>
      </c>
      <c r="AH88" s="54">
        <v>0.84</v>
      </c>
      <c r="AI88" s="54">
        <v>0.84</v>
      </c>
      <c r="AJ88" s="54">
        <v>0.84</v>
      </c>
      <c r="AK88" s="54">
        <v>0.84</v>
      </c>
      <c r="AL88" s="54">
        <v>0.84</v>
      </c>
      <c r="AM88" s="54">
        <v>0.84</v>
      </c>
      <c r="AN88" s="54">
        <v>0.84</v>
      </c>
      <c r="AO88" s="54">
        <v>0.84</v>
      </c>
      <c r="AP88" s="54">
        <v>0.84</v>
      </c>
      <c r="AQ88" s="54">
        <v>0.84</v>
      </c>
      <c r="AR88" s="54">
        <v>0.84</v>
      </c>
      <c r="AS88" s="54">
        <v>0.84</v>
      </c>
    </row>
    <row r="89" spans="1:45" ht="57.6" customHeight="1" x14ac:dyDescent="0.25">
      <c r="A89" s="5" t="s">
        <v>122</v>
      </c>
      <c r="B89" s="5" t="s">
        <v>144</v>
      </c>
      <c r="C89" s="226" t="s">
        <v>394</v>
      </c>
      <c r="D89" s="226"/>
      <c r="E89" s="226"/>
      <c r="F89" s="226"/>
      <c r="G89" s="226"/>
      <c r="H89" s="226"/>
      <c r="I89" s="226" t="s">
        <v>388</v>
      </c>
      <c r="J89" s="226"/>
      <c r="K89" s="226"/>
      <c r="L89" s="226"/>
      <c r="M89" s="226"/>
      <c r="N89" s="226"/>
      <c r="O89" s="35">
        <v>1</v>
      </c>
      <c r="P89" s="35">
        <v>0.97</v>
      </c>
      <c r="Q89" s="35">
        <v>0.94</v>
      </c>
      <c r="R89" s="35">
        <v>0.9</v>
      </c>
      <c r="S89" s="35">
        <v>0.87</v>
      </c>
      <c r="T89" s="35">
        <v>0.84</v>
      </c>
      <c r="U89" s="35">
        <v>0.84</v>
      </c>
      <c r="V89" s="35">
        <v>0.84</v>
      </c>
      <c r="W89" s="35">
        <v>0.84</v>
      </c>
      <c r="X89" s="35">
        <v>0.84</v>
      </c>
      <c r="Y89" s="35">
        <v>0.84</v>
      </c>
      <c r="Z89" s="35">
        <v>0.84</v>
      </c>
      <c r="AA89" s="35">
        <v>0.84</v>
      </c>
      <c r="AB89" s="35">
        <v>0.84</v>
      </c>
      <c r="AC89" s="35">
        <v>0.84</v>
      </c>
      <c r="AD89" s="35">
        <v>0.84</v>
      </c>
      <c r="AE89" s="35">
        <v>0.84</v>
      </c>
      <c r="AF89" s="35">
        <v>0.84</v>
      </c>
      <c r="AG89" s="35">
        <v>0.84</v>
      </c>
      <c r="AH89" s="35">
        <v>0.84</v>
      </c>
      <c r="AI89" s="35">
        <v>0.84</v>
      </c>
      <c r="AJ89" s="35">
        <v>0.84</v>
      </c>
      <c r="AK89" s="35">
        <v>0.84</v>
      </c>
      <c r="AL89" s="35">
        <v>0.84</v>
      </c>
      <c r="AM89" s="35">
        <v>0.84</v>
      </c>
      <c r="AN89" s="35">
        <v>0.84</v>
      </c>
      <c r="AO89" s="35">
        <v>0.84</v>
      </c>
      <c r="AP89" s="35">
        <v>0.84</v>
      </c>
      <c r="AQ89" s="35">
        <v>0.84</v>
      </c>
      <c r="AR89" s="35">
        <v>0.84</v>
      </c>
      <c r="AS89" s="35">
        <v>0.84</v>
      </c>
    </row>
    <row r="90" spans="1:45" ht="43.35" customHeight="1" x14ac:dyDescent="0.25">
      <c r="A90" s="5" t="s">
        <v>123</v>
      </c>
      <c r="B90" s="5" t="s">
        <v>144</v>
      </c>
      <c r="C90" s="226" t="s">
        <v>394</v>
      </c>
      <c r="D90" s="226"/>
      <c r="E90" s="226"/>
      <c r="F90" s="226"/>
      <c r="G90" s="226"/>
      <c r="H90" s="226"/>
      <c r="I90" s="226" t="s">
        <v>477</v>
      </c>
      <c r="J90" s="226"/>
      <c r="K90" s="226"/>
      <c r="L90" s="226"/>
      <c r="M90" s="226"/>
      <c r="N90" s="226"/>
      <c r="O90" s="80">
        <v>1</v>
      </c>
      <c r="P90" s="20">
        <f>1/P88</f>
        <v>1.0309278350515465</v>
      </c>
      <c r="Q90" s="20">
        <f t="shared" ref="Q90:AS90" si="36">1/Q88</f>
        <v>1.0638297872340425</v>
      </c>
      <c r="R90" s="20">
        <f t="shared" si="36"/>
        <v>1.1111111111111112</v>
      </c>
      <c r="S90" s="20">
        <f t="shared" si="36"/>
        <v>1.1494252873563218</v>
      </c>
      <c r="T90" s="20">
        <f t="shared" si="36"/>
        <v>1.1904761904761905</v>
      </c>
      <c r="U90" s="20">
        <f t="shared" si="36"/>
        <v>1.1904761904761905</v>
      </c>
      <c r="V90" s="20">
        <f t="shared" si="36"/>
        <v>1.1904761904761905</v>
      </c>
      <c r="W90" s="20">
        <f t="shared" si="36"/>
        <v>1.1904761904761905</v>
      </c>
      <c r="X90" s="20">
        <f t="shared" si="36"/>
        <v>1.1904761904761905</v>
      </c>
      <c r="Y90" s="20">
        <f t="shared" si="36"/>
        <v>1.1904761904761905</v>
      </c>
      <c r="Z90" s="20">
        <f t="shared" si="36"/>
        <v>1.1904761904761905</v>
      </c>
      <c r="AA90" s="20">
        <f t="shared" si="36"/>
        <v>1.1904761904761905</v>
      </c>
      <c r="AB90" s="20">
        <f t="shared" si="36"/>
        <v>1.1904761904761905</v>
      </c>
      <c r="AC90" s="20">
        <f t="shared" si="36"/>
        <v>1.1904761904761905</v>
      </c>
      <c r="AD90" s="20">
        <f t="shared" si="36"/>
        <v>1.1904761904761905</v>
      </c>
      <c r="AE90" s="20">
        <f t="shared" si="36"/>
        <v>1.1904761904761905</v>
      </c>
      <c r="AF90" s="20">
        <f t="shared" si="36"/>
        <v>1.1904761904761905</v>
      </c>
      <c r="AG90" s="20">
        <f t="shared" si="36"/>
        <v>1.1904761904761905</v>
      </c>
      <c r="AH90" s="20">
        <f t="shared" si="36"/>
        <v>1.1904761904761905</v>
      </c>
      <c r="AI90" s="20">
        <f t="shared" si="36"/>
        <v>1.1904761904761905</v>
      </c>
      <c r="AJ90" s="20">
        <f t="shared" si="36"/>
        <v>1.1904761904761905</v>
      </c>
      <c r="AK90" s="20">
        <f t="shared" si="36"/>
        <v>1.1904761904761905</v>
      </c>
      <c r="AL90" s="20">
        <f t="shared" si="36"/>
        <v>1.1904761904761905</v>
      </c>
      <c r="AM90" s="20">
        <f t="shared" si="36"/>
        <v>1.1904761904761905</v>
      </c>
      <c r="AN90" s="20">
        <f t="shared" si="36"/>
        <v>1.1904761904761905</v>
      </c>
      <c r="AO90" s="20">
        <f t="shared" si="36"/>
        <v>1.1904761904761905</v>
      </c>
      <c r="AP90" s="20">
        <f t="shared" si="36"/>
        <v>1.1904761904761905</v>
      </c>
      <c r="AQ90" s="20">
        <f t="shared" si="36"/>
        <v>1.1904761904761905</v>
      </c>
      <c r="AR90" s="20">
        <f t="shared" si="36"/>
        <v>1.1904761904761905</v>
      </c>
      <c r="AS90" s="20">
        <f t="shared" si="36"/>
        <v>1.1904761904761905</v>
      </c>
    </row>
    <row r="91" spans="1:45" ht="43.35" customHeight="1" x14ac:dyDescent="0.25">
      <c r="A91" s="5" t="s">
        <v>225</v>
      </c>
      <c r="B91" s="5" t="s">
        <v>144</v>
      </c>
      <c r="C91" s="226" t="s">
        <v>394</v>
      </c>
      <c r="D91" s="226"/>
      <c r="E91" s="226"/>
      <c r="F91" s="226"/>
      <c r="G91" s="226"/>
      <c r="H91" s="226"/>
      <c r="I91" s="226" t="s">
        <v>390</v>
      </c>
      <c r="J91" s="226"/>
      <c r="K91" s="226"/>
      <c r="L91" s="226"/>
      <c r="M91" s="226"/>
      <c r="N91" s="226"/>
      <c r="O91" s="35">
        <f>O90</f>
        <v>1</v>
      </c>
      <c r="P91" s="35">
        <f t="shared" ref="P91:AS91" si="37">P90</f>
        <v>1.0309278350515465</v>
      </c>
      <c r="Q91" s="35">
        <f t="shared" si="37"/>
        <v>1.0638297872340425</v>
      </c>
      <c r="R91" s="35">
        <f t="shared" si="37"/>
        <v>1.1111111111111112</v>
      </c>
      <c r="S91" s="35">
        <f t="shared" si="37"/>
        <v>1.1494252873563218</v>
      </c>
      <c r="T91" s="35">
        <f t="shared" si="37"/>
        <v>1.1904761904761905</v>
      </c>
      <c r="U91" s="35">
        <f t="shared" si="37"/>
        <v>1.1904761904761905</v>
      </c>
      <c r="V91" s="35">
        <f t="shared" si="37"/>
        <v>1.1904761904761905</v>
      </c>
      <c r="W91" s="35">
        <f t="shared" si="37"/>
        <v>1.1904761904761905</v>
      </c>
      <c r="X91" s="35">
        <f t="shared" si="37"/>
        <v>1.1904761904761905</v>
      </c>
      <c r="Y91" s="35">
        <f t="shared" si="37"/>
        <v>1.1904761904761905</v>
      </c>
      <c r="Z91" s="35">
        <f t="shared" si="37"/>
        <v>1.1904761904761905</v>
      </c>
      <c r="AA91" s="35">
        <f t="shared" si="37"/>
        <v>1.1904761904761905</v>
      </c>
      <c r="AB91" s="35">
        <f t="shared" si="37"/>
        <v>1.1904761904761905</v>
      </c>
      <c r="AC91" s="35">
        <f t="shared" si="37"/>
        <v>1.1904761904761905</v>
      </c>
      <c r="AD91" s="35">
        <f t="shared" si="37"/>
        <v>1.1904761904761905</v>
      </c>
      <c r="AE91" s="35">
        <f t="shared" si="37"/>
        <v>1.1904761904761905</v>
      </c>
      <c r="AF91" s="35">
        <f t="shared" si="37"/>
        <v>1.1904761904761905</v>
      </c>
      <c r="AG91" s="35">
        <f t="shared" si="37"/>
        <v>1.1904761904761905</v>
      </c>
      <c r="AH91" s="35">
        <f t="shared" si="37"/>
        <v>1.1904761904761905</v>
      </c>
      <c r="AI91" s="35">
        <f t="shared" si="37"/>
        <v>1.1904761904761905</v>
      </c>
      <c r="AJ91" s="35">
        <f t="shared" si="37"/>
        <v>1.1904761904761905</v>
      </c>
      <c r="AK91" s="35">
        <f t="shared" si="37"/>
        <v>1.1904761904761905</v>
      </c>
      <c r="AL91" s="35">
        <f t="shared" si="37"/>
        <v>1.1904761904761905</v>
      </c>
      <c r="AM91" s="35">
        <f t="shared" si="37"/>
        <v>1.1904761904761905</v>
      </c>
      <c r="AN91" s="35">
        <f t="shared" si="37"/>
        <v>1.1904761904761905</v>
      </c>
      <c r="AO91" s="35">
        <f t="shared" si="37"/>
        <v>1.1904761904761905</v>
      </c>
      <c r="AP91" s="35">
        <f t="shared" si="37"/>
        <v>1.1904761904761905</v>
      </c>
      <c r="AQ91" s="35">
        <f t="shared" si="37"/>
        <v>1.1904761904761905</v>
      </c>
      <c r="AR91" s="35">
        <f t="shared" si="37"/>
        <v>1.1904761904761905</v>
      </c>
      <c r="AS91" s="35">
        <f t="shared" si="37"/>
        <v>1.1904761904761905</v>
      </c>
    </row>
    <row r="92" spans="1:45" ht="43.35" customHeight="1" x14ac:dyDescent="0.25">
      <c r="A92" s="5" t="s">
        <v>226</v>
      </c>
      <c r="B92" s="5" t="s">
        <v>144</v>
      </c>
      <c r="C92" s="226" t="s">
        <v>394</v>
      </c>
      <c r="D92" s="226"/>
      <c r="E92" s="226"/>
      <c r="F92" s="226"/>
      <c r="G92" s="226"/>
      <c r="H92" s="226"/>
      <c r="I92" s="226" t="s">
        <v>390</v>
      </c>
      <c r="J92" s="226"/>
      <c r="K92" s="226"/>
      <c r="L92" s="226"/>
      <c r="M92" s="226"/>
      <c r="N92" s="226"/>
      <c r="O92" s="35">
        <f>O91</f>
        <v>1</v>
      </c>
      <c r="P92" s="35">
        <f t="shared" ref="P92" si="38">P91</f>
        <v>1.0309278350515465</v>
      </c>
      <c r="Q92" s="35">
        <f t="shared" ref="Q92" si="39">Q91</f>
        <v>1.0638297872340425</v>
      </c>
      <c r="R92" s="35">
        <f t="shared" ref="R92" si="40">R91</f>
        <v>1.1111111111111112</v>
      </c>
      <c r="S92" s="35">
        <f t="shared" ref="S92" si="41">S91</f>
        <v>1.1494252873563218</v>
      </c>
      <c r="T92" s="35">
        <f t="shared" ref="T92" si="42">T91</f>
        <v>1.1904761904761905</v>
      </c>
      <c r="U92" s="35">
        <f t="shared" ref="U92" si="43">U91</f>
        <v>1.1904761904761905</v>
      </c>
      <c r="V92" s="35">
        <f t="shared" ref="V92" si="44">V91</f>
        <v>1.1904761904761905</v>
      </c>
      <c r="W92" s="35">
        <f t="shared" ref="W92" si="45">W91</f>
        <v>1.1904761904761905</v>
      </c>
      <c r="X92" s="35">
        <f t="shared" ref="X92" si="46">X91</f>
        <v>1.1904761904761905</v>
      </c>
      <c r="Y92" s="35">
        <f t="shared" ref="Y92" si="47">Y91</f>
        <v>1.1904761904761905</v>
      </c>
      <c r="Z92" s="35">
        <f t="shared" ref="Z92" si="48">Z91</f>
        <v>1.1904761904761905</v>
      </c>
      <c r="AA92" s="35">
        <f t="shared" ref="AA92" si="49">AA91</f>
        <v>1.1904761904761905</v>
      </c>
      <c r="AB92" s="35">
        <f t="shared" ref="AB92" si="50">AB91</f>
        <v>1.1904761904761905</v>
      </c>
      <c r="AC92" s="35">
        <f t="shared" ref="AC92" si="51">AC91</f>
        <v>1.1904761904761905</v>
      </c>
      <c r="AD92" s="35">
        <f t="shared" ref="AD92" si="52">AD91</f>
        <v>1.1904761904761905</v>
      </c>
      <c r="AE92" s="35">
        <f t="shared" ref="AE92" si="53">AE91</f>
        <v>1.1904761904761905</v>
      </c>
      <c r="AF92" s="35">
        <f t="shared" ref="AF92" si="54">AF91</f>
        <v>1.1904761904761905</v>
      </c>
      <c r="AG92" s="35">
        <f t="shared" ref="AG92" si="55">AG91</f>
        <v>1.1904761904761905</v>
      </c>
      <c r="AH92" s="35">
        <f t="shared" ref="AH92" si="56">AH91</f>
        <v>1.1904761904761905</v>
      </c>
      <c r="AI92" s="35">
        <f t="shared" ref="AI92" si="57">AI91</f>
        <v>1.1904761904761905</v>
      </c>
      <c r="AJ92" s="35">
        <f t="shared" ref="AJ92" si="58">AJ91</f>
        <v>1.1904761904761905</v>
      </c>
      <c r="AK92" s="35">
        <f t="shared" ref="AK92" si="59">AK91</f>
        <v>1.1904761904761905</v>
      </c>
      <c r="AL92" s="35">
        <f t="shared" ref="AL92" si="60">AL91</f>
        <v>1.1904761904761905</v>
      </c>
      <c r="AM92" s="35">
        <f t="shared" ref="AM92" si="61">AM91</f>
        <v>1.1904761904761905</v>
      </c>
      <c r="AN92" s="35">
        <f t="shared" ref="AN92" si="62">AN91</f>
        <v>1.1904761904761905</v>
      </c>
      <c r="AO92" s="35">
        <f t="shared" ref="AO92" si="63">AO91</f>
        <v>1.1904761904761905</v>
      </c>
      <c r="AP92" s="35">
        <f t="shared" ref="AP92" si="64">AP91</f>
        <v>1.1904761904761905</v>
      </c>
      <c r="AQ92" s="35">
        <f t="shared" ref="AQ92" si="65">AQ91</f>
        <v>1.1904761904761905</v>
      </c>
      <c r="AR92" s="35">
        <f t="shared" ref="AR92" si="66">AR91</f>
        <v>1.1904761904761905</v>
      </c>
      <c r="AS92" s="35">
        <f t="shared" ref="AS92" si="67">AS91</f>
        <v>1.1904761904761905</v>
      </c>
    </row>
    <row r="93" spans="1:45" ht="43.35" customHeight="1" x14ac:dyDescent="0.25">
      <c r="A93" s="5" t="s">
        <v>285</v>
      </c>
      <c r="B93" s="5" t="s">
        <v>144</v>
      </c>
      <c r="C93" s="226" t="s">
        <v>394</v>
      </c>
      <c r="D93" s="226"/>
      <c r="E93" s="226"/>
      <c r="F93" s="226"/>
      <c r="G93" s="226"/>
      <c r="H93" s="226"/>
      <c r="I93" s="226" t="s">
        <v>391</v>
      </c>
      <c r="J93" s="226"/>
      <c r="K93" s="226"/>
      <c r="L93" s="226"/>
      <c r="M93" s="226"/>
      <c r="N93" s="226"/>
      <c r="O93" s="54">
        <v>1</v>
      </c>
      <c r="P93" s="54">
        <v>1</v>
      </c>
      <c r="Q93" s="54">
        <v>1</v>
      </c>
      <c r="R93" s="54">
        <v>1</v>
      </c>
      <c r="S93" s="54">
        <v>1</v>
      </c>
      <c r="T93" s="54">
        <v>1</v>
      </c>
      <c r="U93" s="54">
        <v>1</v>
      </c>
      <c r="V93" s="54">
        <v>1</v>
      </c>
      <c r="W93" s="54">
        <v>1</v>
      </c>
      <c r="X93" s="54">
        <v>1</v>
      </c>
      <c r="Y93" s="54">
        <v>1</v>
      </c>
      <c r="Z93" s="54">
        <v>1</v>
      </c>
      <c r="AA93" s="54">
        <v>1</v>
      </c>
      <c r="AB93" s="54">
        <v>1</v>
      </c>
      <c r="AC93" s="54">
        <v>1</v>
      </c>
      <c r="AD93" s="54">
        <v>1</v>
      </c>
      <c r="AE93" s="54">
        <v>1</v>
      </c>
      <c r="AF93" s="54">
        <v>1</v>
      </c>
      <c r="AG93" s="54">
        <v>1</v>
      </c>
      <c r="AH93" s="54">
        <v>1</v>
      </c>
      <c r="AI93" s="54">
        <v>1</v>
      </c>
      <c r="AJ93" s="54">
        <v>1</v>
      </c>
      <c r="AK93" s="54">
        <v>1</v>
      </c>
      <c r="AL93" s="54">
        <v>1</v>
      </c>
      <c r="AM93" s="54">
        <v>1</v>
      </c>
      <c r="AN93" s="54">
        <v>1</v>
      </c>
      <c r="AO93" s="54">
        <v>1</v>
      </c>
      <c r="AP93" s="54">
        <v>1</v>
      </c>
      <c r="AQ93" s="54">
        <v>1</v>
      </c>
      <c r="AR93" s="54">
        <v>1</v>
      </c>
      <c r="AS93" s="54">
        <v>1</v>
      </c>
    </row>
    <row r="94" spans="1:45" ht="43.35" customHeight="1" x14ac:dyDescent="0.25">
      <c r="A94" s="5" t="s">
        <v>286</v>
      </c>
      <c r="B94" s="5" t="s">
        <v>144</v>
      </c>
      <c r="C94" s="226" t="s">
        <v>394</v>
      </c>
      <c r="D94" s="226"/>
      <c r="E94" s="226"/>
      <c r="F94" s="226"/>
      <c r="G94" s="226"/>
      <c r="H94" s="226"/>
      <c r="I94" s="226" t="s">
        <v>392</v>
      </c>
      <c r="J94" s="226"/>
      <c r="K94" s="226"/>
      <c r="L94" s="226"/>
      <c r="M94" s="226"/>
      <c r="N94" s="226"/>
      <c r="O94" s="35">
        <f>O$80</f>
        <v>1</v>
      </c>
      <c r="P94" s="35">
        <f t="shared" ref="P94:AS96" si="68">P$80</f>
        <v>1</v>
      </c>
      <c r="Q94" s="35">
        <f t="shared" si="68"/>
        <v>1</v>
      </c>
      <c r="R94" s="35">
        <f t="shared" si="68"/>
        <v>1</v>
      </c>
      <c r="S94" s="35">
        <f t="shared" si="68"/>
        <v>1</v>
      </c>
      <c r="T94" s="35">
        <f t="shared" si="68"/>
        <v>1</v>
      </c>
      <c r="U94" s="35">
        <f t="shared" si="68"/>
        <v>1</v>
      </c>
      <c r="V94" s="35">
        <f t="shared" si="68"/>
        <v>1</v>
      </c>
      <c r="W94" s="35">
        <f t="shared" si="68"/>
        <v>1</v>
      </c>
      <c r="X94" s="35">
        <f t="shared" si="68"/>
        <v>1</v>
      </c>
      <c r="Y94" s="35">
        <f t="shared" si="68"/>
        <v>1</v>
      </c>
      <c r="Z94" s="35">
        <f t="shared" si="68"/>
        <v>1</v>
      </c>
      <c r="AA94" s="35">
        <f t="shared" si="68"/>
        <v>1</v>
      </c>
      <c r="AB94" s="35">
        <f t="shared" si="68"/>
        <v>1</v>
      </c>
      <c r="AC94" s="35">
        <f t="shared" si="68"/>
        <v>1</v>
      </c>
      <c r="AD94" s="35">
        <f t="shared" si="68"/>
        <v>1</v>
      </c>
      <c r="AE94" s="35">
        <f t="shared" si="68"/>
        <v>1</v>
      </c>
      <c r="AF94" s="35">
        <f t="shared" si="68"/>
        <v>1</v>
      </c>
      <c r="AG94" s="35">
        <f t="shared" si="68"/>
        <v>1</v>
      </c>
      <c r="AH94" s="35">
        <f t="shared" si="68"/>
        <v>1</v>
      </c>
      <c r="AI94" s="35">
        <f t="shared" si="68"/>
        <v>1</v>
      </c>
      <c r="AJ94" s="35">
        <f t="shared" si="68"/>
        <v>1</v>
      </c>
      <c r="AK94" s="35">
        <f t="shared" si="68"/>
        <v>1</v>
      </c>
      <c r="AL94" s="35">
        <f t="shared" si="68"/>
        <v>1</v>
      </c>
      <c r="AM94" s="35">
        <f t="shared" si="68"/>
        <v>1</v>
      </c>
      <c r="AN94" s="35">
        <f t="shared" si="68"/>
        <v>1</v>
      </c>
      <c r="AO94" s="35">
        <f t="shared" si="68"/>
        <v>1</v>
      </c>
      <c r="AP94" s="35">
        <f t="shared" si="68"/>
        <v>1</v>
      </c>
      <c r="AQ94" s="35">
        <f t="shared" si="68"/>
        <v>1</v>
      </c>
      <c r="AR94" s="35">
        <f t="shared" si="68"/>
        <v>1</v>
      </c>
      <c r="AS94" s="35">
        <f t="shared" si="68"/>
        <v>1</v>
      </c>
    </row>
    <row r="95" spans="1:45" ht="43.35" customHeight="1" x14ac:dyDescent="0.25">
      <c r="A95" s="5" t="s">
        <v>287</v>
      </c>
      <c r="B95" s="5" t="s">
        <v>144</v>
      </c>
      <c r="C95" s="226" t="s">
        <v>394</v>
      </c>
      <c r="D95" s="226"/>
      <c r="E95" s="226"/>
      <c r="F95" s="226"/>
      <c r="G95" s="226"/>
      <c r="H95" s="226"/>
      <c r="I95" s="226" t="s">
        <v>392</v>
      </c>
      <c r="J95" s="226"/>
      <c r="K95" s="226"/>
      <c r="L95" s="226"/>
      <c r="M95" s="226"/>
      <c r="N95" s="226"/>
      <c r="O95" s="35">
        <f t="shared" ref="O95:AD96" si="69">O$80</f>
        <v>1</v>
      </c>
      <c r="P95" s="35">
        <f t="shared" si="69"/>
        <v>1</v>
      </c>
      <c r="Q95" s="35">
        <f t="shared" si="69"/>
        <v>1</v>
      </c>
      <c r="R95" s="35">
        <f t="shared" si="69"/>
        <v>1</v>
      </c>
      <c r="S95" s="35">
        <f t="shared" si="69"/>
        <v>1</v>
      </c>
      <c r="T95" s="35">
        <f t="shared" si="69"/>
        <v>1</v>
      </c>
      <c r="U95" s="35">
        <f t="shared" si="69"/>
        <v>1</v>
      </c>
      <c r="V95" s="35">
        <f t="shared" si="69"/>
        <v>1</v>
      </c>
      <c r="W95" s="35">
        <f t="shared" si="69"/>
        <v>1</v>
      </c>
      <c r="X95" s="35">
        <f t="shared" si="69"/>
        <v>1</v>
      </c>
      <c r="Y95" s="35">
        <f t="shared" si="69"/>
        <v>1</v>
      </c>
      <c r="Z95" s="35">
        <f t="shared" si="69"/>
        <v>1</v>
      </c>
      <c r="AA95" s="35">
        <f t="shared" si="69"/>
        <v>1</v>
      </c>
      <c r="AB95" s="35">
        <f t="shared" si="69"/>
        <v>1</v>
      </c>
      <c r="AC95" s="35">
        <f t="shared" si="69"/>
        <v>1</v>
      </c>
      <c r="AD95" s="35">
        <f t="shared" si="69"/>
        <v>1</v>
      </c>
      <c r="AE95" s="35">
        <f t="shared" si="68"/>
        <v>1</v>
      </c>
      <c r="AF95" s="35">
        <f t="shared" si="68"/>
        <v>1</v>
      </c>
      <c r="AG95" s="35">
        <f t="shared" si="68"/>
        <v>1</v>
      </c>
      <c r="AH95" s="35">
        <f t="shared" si="68"/>
        <v>1</v>
      </c>
      <c r="AI95" s="35">
        <f t="shared" si="68"/>
        <v>1</v>
      </c>
      <c r="AJ95" s="35">
        <f t="shared" si="68"/>
        <v>1</v>
      </c>
      <c r="AK95" s="35">
        <f t="shared" si="68"/>
        <v>1</v>
      </c>
      <c r="AL95" s="35">
        <f t="shared" si="68"/>
        <v>1</v>
      </c>
      <c r="AM95" s="35">
        <f t="shared" si="68"/>
        <v>1</v>
      </c>
      <c r="AN95" s="35">
        <f t="shared" si="68"/>
        <v>1</v>
      </c>
      <c r="AO95" s="35">
        <f t="shared" si="68"/>
        <v>1</v>
      </c>
      <c r="AP95" s="35">
        <f t="shared" si="68"/>
        <v>1</v>
      </c>
      <c r="AQ95" s="35">
        <f t="shared" si="68"/>
        <v>1</v>
      </c>
      <c r="AR95" s="35">
        <f t="shared" si="68"/>
        <v>1</v>
      </c>
      <c r="AS95" s="35">
        <f t="shared" si="68"/>
        <v>1</v>
      </c>
    </row>
    <row r="96" spans="1:45" ht="43.35" customHeight="1" x14ac:dyDescent="0.25">
      <c r="A96" s="5" t="s">
        <v>288</v>
      </c>
      <c r="B96" s="5" t="s">
        <v>144</v>
      </c>
      <c r="C96" s="226" t="s">
        <v>394</v>
      </c>
      <c r="D96" s="226"/>
      <c r="E96" s="226"/>
      <c r="F96" s="226"/>
      <c r="G96" s="226"/>
      <c r="H96" s="226"/>
      <c r="I96" s="226" t="s">
        <v>392</v>
      </c>
      <c r="J96" s="226"/>
      <c r="K96" s="226"/>
      <c r="L96" s="226"/>
      <c r="M96" s="226"/>
      <c r="N96" s="226"/>
      <c r="O96" s="35">
        <f t="shared" si="69"/>
        <v>1</v>
      </c>
      <c r="P96" s="35">
        <f t="shared" si="68"/>
        <v>1</v>
      </c>
      <c r="Q96" s="35">
        <f t="shared" si="68"/>
        <v>1</v>
      </c>
      <c r="R96" s="35">
        <f t="shared" si="68"/>
        <v>1</v>
      </c>
      <c r="S96" s="35">
        <f t="shared" si="68"/>
        <v>1</v>
      </c>
      <c r="T96" s="35">
        <f t="shared" si="68"/>
        <v>1</v>
      </c>
      <c r="U96" s="35">
        <f t="shared" si="68"/>
        <v>1</v>
      </c>
      <c r="V96" s="35">
        <f t="shared" si="68"/>
        <v>1</v>
      </c>
      <c r="W96" s="35">
        <f t="shared" si="68"/>
        <v>1</v>
      </c>
      <c r="X96" s="35">
        <f t="shared" si="68"/>
        <v>1</v>
      </c>
      <c r="Y96" s="35">
        <f t="shared" si="68"/>
        <v>1</v>
      </c>
      <c r="Z96" s="35">
        <f t="shared" si="68"/>
        <v>1</v>
      </c>
      <c r="AA96" s="35">
        <f t="shared" si="68"/>
        <v>1</v>
      </c>
      <c r="AB96" s="35">
        <f t="shared" si="68"/>
        <v>1</v>
      </c>
      <c r="AC96" s="35">
        <f t="shared" si="68"/>
        <v>1</v>
      </c>
      <c r="AD96" s="35">
        <f t="shared" si="68"/>
        <v>1</v>
      </c>
      <c r="AE96" s="35">
        <f t="shared" si="68"/>
        <v>1</v>
      </c>
      <c r="AF96" s="35">
        <f t="shared" si="68"/>
        <v>1</v>
      </c>
      <c r="AG96" s="35">
        <f t="shared" si="68"/>
        <v>1</v>
      </c>
      <c r="AH96" s="35">
        <f t="shared" si="68"/>
        <v>1</v>
      </c>
      <c r="AI96" s="35">
        <f t="shared" si="68"/>
        <v>1</v>
      </c>
      <c r="AJ96" s="35">
        <f t="shared" si="68"/>
        <v>1</v>
      </c>
      <c r="AK96" s="35">
        <f t="shared" si="68"/>
        <v>1</v>
      </c>
      <c r="AL96" s="35">
        <f t="shared" si="68"/>
        <v>1</v>
      </c>
      <c r="AM96" s="35">
        <f t="shared" si="68"/>
        <v>1</v>
      </c>
      <c r="AN96" s="35">
        <f t="shared" si="68"/>
        <v>1</v>
      </c>
      <c r="AO96" s="35">
        <f t="shared" si="68"/>
        <v>1</v>
      </c>
      <c r="AP96" s="35">
        <f t="shared" si="68"/>
        <v>1</v>
      </c>
      <c r="AQ96" s="35">
        <f t="shared" si="68"/>
        <v>1</v>
      </c>
      <c r="AR96" s="35">
        <f t="shared" si="68"/>
        <v>1</v>
      </c>
      <c r="AS96" s="35">
        <f t="shared" si="68"/>
        <v>1</v>
      </c>
    </row>
    <row r="97" spans="1:45" ht="43.35" customHeight="1" x14ac:dyDescent="0.25">
      <c r="C97" s="44"/>
      <c r="D97" s="44"/>
      <c r="E97" s="44"/>
      <c r="F97" s="44"/>
      <c r="G97" s="44"/>
      <c r="H97" s="44"/>
      <c r="I97" s="44"/>
      <c r="J97" s="44"/>
      <c r="K97" s="44"/>
      <c r="L97" s="44"/>
      <c r="M97" s="44"/>
      <c r="N97" s="44"/>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row>
    <row r="98" spans="1:45" ht="43.35" customHeight="1" x14ac:dyDescent="0.25">
      <c r="C98" s="44"/>
      <c r="D98" s="44"/>
      <c r="E98" s="44"/>
      <c r="F98" s="44"/>
      <c r="G98" s="44"/>
      <c r="H98" s="44"/>
      <c r="I98" s="44"/>
      <c r="J98" s="44"/>
      <c r="K98" s="44"/>
      <c r="L98" s="44"/>
      <c r="M98" s="44"/>
      <c r="N98" s="44"/>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row>
    <row r="102" spans="1:45" s="94" customFormat="1" ht="17.25" outlineLevel="1" x14ac:dyDescent="0.3">
      <c r="A102" s="94" t="s">
        <v>396</v>
      </c>
    </row>
    <row r="103" spans="1:45" ht="15.75" thickTop="1" x14ac:dyDescent="0.25"/>
    <row r="105" spans="1:45" ht="30" outlineLevel="1" x14ac:dyDescent="0.25">
      <c r="A105" s="53" t="s">
        <v>397</v>
      </c>
      <c r="B105" s="6" t="s">
        <v>61</v>
      </c>
      <c r="C105" s="225" t="s">
        <v>32</v>
      </c>
      <c r="D105" s="225"/>
      <c r="E105" s="225"/>
      <c r="F105" s="225"/>
      <c r="G105" s="225"/>
      <c r="H105" s="225"/>
      <c r="I105" s="225" t="s">
        <v>33</v>
      </c>
      <c r="J105" s="225"/>
      <c r="K105" s="225"/>
      <c r="L105" s="225"/>
      <c r="M105" s="225"/>
      <c r="N105" s="225"/>
      <c r="O105" s="6">
        <v>2026</v>
      </c>
      <c r="P105" s="6">
        <f>O105+1</f>
        <v>2027</v>
      </c>
      <c r="Q105" s="6">
        <f t="shared" ref="Q105" si="70">P105+1</f>
        <v>2028</v>
      </c>
      <c r="R105" s="6">
        <f t="shared" ref="R105" si="71">Q105+1</f>
        <v>2029</v>
      </c>
      <c r="S105" s="6">
        <f t="shared" ref="S105" si="72">R105+1</f>
        <v>2030</v>
      </c>
      <c r="T105" s="6">
        <f t="shared" ref="T105" si="73">S105+1</f>
        <v>2031</v>
      </c>
      <c r="U105" s="6">
        <f t="shared" ref="U105" si="74">T105+1</f>
        <v>2032</v>
      </c>
      <c r="V105" s="6">
        <f t="shared" ref="V105" si="75">U105+1</f>
        <v>2033</v>
      </c>
      <c r="W105" s="6">
        <f t="shared" ref="W105" si="76">V105+1</f>
        <v>2034</v>
      </c>
      <c r="X105" s="6">
        <f t="shared" ref="X105" si="77">W105+1</f>
        <v>2035</v>
      </c>
      <c r="Y105" s="6">
        <f t="shared" ref="Y105" si="78">X105+1</f>
        <v>2036</v>
      </c>
      <c r="Z105" s="6">
        <f t="shared" ref="Z105" si="79">Y105+1</f>
        <v>2037</v>
      </c>
      <c r="AA105" s="6">
        <f t="shared" ref="AA105" si="80">Z105+1</f>
        <v>2038</v>
      </c>
      <c r="AB105" s="6">
        <f t="shared" ref="AB105" si="81">AA105+1</f>
        <v>2039</v>
      </c>
      <c r="AC105" s="6">
        <f t="shared" ref="AC105" si="82">AB105+1</f>
        <v>2040</v>
      </c>
      <c r="AD105" s="6">
        <f t="shared" ref="AD105" si="83">AC105+1</f>
        <v>2041</v>
      </c>
      <c r="AE105" s="6">
        <f t="shared" ref="AE105" si="84">AD105+1</f>
        <v>2042</v>
      </c>
      <c r="AF105" s="6">
        <f t="shared" ref="AF105" si="85">AE105+1</f>
        <v>2043</v>
      </c>
      <c r="AG105" s="6">
        <f t="shared" ref="AG105" si="86">AF105+1</f>
        <v>2044</v>
      </c>
      <c r="AH105" s="6">
        <f t="shared" ref="AH105" si="87">AG105+1</f>
        <v>2045</v>
      </c>
      <c r="AI105" s="6">
        <f t="shared" ref="AI105" si="88">AH105+1</f>
        <v>2046</v>
      </c>
      <c r="AJ105" s="6">
        <f t="shared" ref="AJ105" si="89">AI105+1</f>
        <v>2047</v>
      </c>
      <c r="AK105" s="6">
        <f t="shared" ref="AK105" si="90">AJ105+1</f>
        <v>2048</v>
      </c>
      <c r="AL105" s="6">
        <f t="shared" ref="AL105" si="91">AK105+1</f>
        <v>2049</v>
      </c>
      <c r="AM105" s="6">
        <f t="shared" ref="AM105" si="92">AL105+1</f>
        <v>2050</v>
      </c>
      <c r="AN105" s="6">
        <f t="shared" ref="AN105" si="93">AM105+1</f>
        <v>2051</v>
      </c>
      <c r="AO105" s="6">
        <f t="shared" ref="AO105" si="94">AN105+1</f>
        <v>2052</v>
      </c>
      <c r="AP105" s="6">
        <f t="shared" ref="AP105" si="95">AO105+1</f>
        <v>2053</v>
      </c>
      <c r="AQ105" s="6">
        <f t="shared" ref="AQ105" si="96">AP105+1</f>
        <v>2054</v>
      </c>
      <c r="AR105" s="6">
        <f t="shared" ref="AR105" si="97">AQ105+1</f>
        <v>2055</v>
      </c>
      <c r="AS105" s="6">
        <f t="shared" ref="AS105" si="98">AR105+1</f>
        <v>2056</v>
      </c>
    </row>
    <row r="106" spans="1:45" ht="43.35" customHeight="1" outlineLevel="1" x14ac:dyDescent="0.25">
      <c r="A106" s="5" t="s">
        <v>121</v>
      </c>
      <c r="B106" s="5" t="s">
        <v>144</v>
      </c>
      <c r="C106" s="226" t="s">
        <v>398</v>
      </c>
      <c r="D106" s="226"/>
      <c r="E106" s="226"/>
      <c r="F106" s="226"/>
      <c r="G106" s="226"/>
      <c r="H106" s="226"/>
      <c r="I106" s="226" t="s">
        <v>399</v>
      </c>
      <c r="J106" s="226"/>
      <c r="K106" s="226"/>
      <c r="L106" s="226"/>
      <c r="M106" s="226"/>
      <c r="N106" s="226"/>
      <c r="O106" s="54">
        <v>0.5</v>
      </c>
      <c r="P106" s="54">
        <v>1</v>
      </c>
      <c r="Q106" s="54">
        <v>1</v>
      </c>
      <c r="R106" s="54">
        <v>1</v>
      </c>
      <c r="S106" s="54">
        <v>1</v>
      </c>
      <c r="T106" s="54">
        <v>1</v>
      </c>
      <c r="U106" s="54">
        <v>1</v>
      </c>
      <c r="V106" s="54">
        <v>1</v>
      </c>
      <c r="W106" s="54">
        <v>1</v>
      </c>
      <c r="X106" s="54">
        <v>1</v>
      </c>
      <c r="Y106" s="54">
        <v>1</v>
      </c>
      <c r="Z106" s="54">
        <v>1</v>
      </c>
      <c r="AA106" s="54">
        <v>1</v>
      </c>
      <c r="AB106" s="54">
        <v>1</v>
      </c>
      <c r="AC106" s="54">
        <v>1</v>
      </c>
      <c r="AD106" s="54">
        <v>1</v>
      </c>
      <c r="AE106" s="54">
        <v>1</v>
      </c>
      <c r="AF106" s="54">
        <v>1</v>
      </c>
      <c r="AG106" s="54">
        <v>1</v>
      </c>
      <c r="AH106" s="54">
        <v>1</v>
      </c>
      <c r="AI106" s="54">
        <v>1</v>
      </c>
      <c r="AJ106" s="54">
        <v>1</v>
      </c>
      <c r="AK106" s="54">
        <v>1</v>
      </c>
      <c r="AL106" s="54">
        <v>1</v>
      </c>
      <c r="AM106" s="54">
        <v>1</v>
      </c>
      <c r="AN106" s="54">
        <v>1</v>
      </c>
      <c r="AO106" s="54">
        <v>1</v>
      </c>
      <c r="AP106" s="54">
        <v>1</v>
      </c>
      <c r="AQ106" s="54">
        <v>1</v>
      </c>
      <c r="AR106" s="54">
        <v>1</v>
      </c>
      <c r="AS106" s="54">
        <v>1</v>
      </c>
    </row>
    <row r="107" spans="1:45" ht="43.35" customHeight="1" outlineLevel="1" x14ac:dyDescent="0.25">
      <c r="A107" s="5" t="s">
        <v>122</v>
      </c>
      <c r="B107" s="5" t="s">
        <v>144</v>
      </c>
      <c r="C107" s="226" t="s">
        <v>398</v>
      </c>
      <c r="D107" s="226"/>
      <c r="E107" s="226"/>
      <c r="F107" s="226"/>
      <c r="G107" s="226"/>
      <c r="H107" s="226"/>
      <c r="I107" s="226" t="s">
        <v>399</v>
      </c>
      <c r="J107" s="226"/>
      <c r="K107" s="226"/>
      <c r="L107" s="226"/>
      <c r="M107" s="226"/>
      <c r="N107" s="226"/>
      <c r="O107" s="54">
        <v>0.5</v>
      </c>
      <c r="P107" s="54">
        <v>1</v>
      </c>
      <c r="Q107" s="54">
        <v>1</v>
      </c>
      <c r="R107" s="54">
        <v>1</v>
      </c>
      <c r="S107" s="54">
        <v>1</v>
      </c>
      <c r="T107" s="54">
        <v>1</v>
      </c>
      <c r="U107" s="54">
        <v>1</v>
      </c>
      <c r="V107" s="54">
        <v>1</v>
      </c>
      <c r="W107" s="54">
        <v>1</v>
      </c>
      <c r="X107" s="54">
        <v>1</v>
      </c>
      <c r="Y107" s="54">
        <v>1</v>
      </c>
      <c r="Z107" s="54">
        <v>1</v>
      </c>
      <c r="AA107" s="54">
        <v>1</v>
      </c>
      <c r="AB107" s="54">
        <v>1</v>
      </c>
      <c r="AC107" s="54">
        <v>1</v>
      </c>
      <c r="AD107" s="54">
        <v>1</v>
      </c>
      <c r="AE107" s="54">
        <v>1</v>
      </c>
      <c r="AF107" s="54">
        <v>1</v>
      </c>
      <c r="AG107" s="54">
        <v>1</v>
      </c>
      <c r="AH107" s="54">
        <v>1</v>
      </c>
      <c r="AI107" s="54">
        <v>1</v>
      </c>
      <c r="AJ107" s="54">
        <v>1</v>
      </c>
      <c r="AK107" s="54">
        <v>1</v>
      </c>
      <c r="AL107" s="54">
        <v>1</v>
      </c>
      <c r="AM107" s="54">
        <v>1</v>
      </c>
      <c r="AN107" s="54">
        <v>1</v>
      </c>
      <c r="AO107" s="54">
        <v>1</v>
      </c>
      <c r="AP107" s="54">
        <v>1</v>
      </c>
      <c r="AQ107" s="54">
        <v>1</v>
      </c>
      <c r="AR107" s="54">
        <v>1</v>
      </c>
      <c r="AS107" s="54">
        <v>1</v>
      </c>
    </row>
    <row r="108" spans="1:45" ht="43.35" customHeight="1" outlineLevel="1" x14ac:dyDescent="0.25">
      <c r="A108" s="5" t="s">
        <v>123</v>
      </c>
      <c r="B108" s="5" t="s">
        <v>144</v>
      </c>
      <c r="C108" s="226" t="s">
        <v>398</v>
      </c>
      <c r="D108" s="226"/>
      <c r="E108" s="226"/>
      <c r="F108" s="226"/>
      <c r="G108" s="226"/>
      <c r="H108" s="226"/>
      <c r="I108" s="226" t="s">
        <v>399</v>
      </c>
      <c r="J108" s="226"/>
      <c r="K108" s="226"/>
      <c r="L108" s="226"/>
      <c r="M108" s="226"/>
      <c r="N108" s="226"/>
      <c r="O108" s="54">
        <v>0.5</v>
      </c>
      <c r="P108" s="54">
        <v>1</v>
      </c>
      <c r="Q108" s="54">
        <v>1</v>
      </c>
      <c r="R108" s="54">
        <v>1</v>
      </c>
      <c r="S108" s="54">
        <v>1</v>
      </c>
      <c r="T108" s="54">
        <v>1</v>
      </c>
      <c r="U108" s="54">
        <v>1</v>
      </c>
      <c r="V108" s="54">
        <v>1</v>
      </c>
      <c r="W108" s="54">
        <v>1</v>
      </c>
      <c r="X108" s="54">
        <v>1</v>
      </c>
      <c r="Y108" s="54">
        <v>1</v>
      </c>
      <c r="Z108" s="54">
        <v>1</v>
      </c>
      <c r="AA108" s="54">
        <v>1</v>
      </c>
      <c r="AB108" s="54">
        <v>1</v>
      </c>
      <c r="AC108" s="54">
        <v>1</v>
      </c>
      <c r="AD108" s="54">
        <v>1</v>
      </c>
      <c r="AE108" s="54">
        <v>1</v>
      </c>
      <c r="AF108" s="54">
        <v>1</v>
      </c>
      <c r="AG108" s="54">
        <v>1</v>
      </c>
      <c r="AH108" s="54">
        <v>1</v>
      </c>
      <c r="AI108" s="54">
        <v>1</v>
      </c>
      <c r="AJ108" s="54">
        <v>1</v>
      </c>
      <c r="AK108" s="54">
        <v>1</v>
      </c>
      <c r="AL108" s="54">
        <v>1</v>
      </c>
      <c r="AM108" s="54">
        <v>1</v>
      </c>
      <c r="AN108" s="54">
        <v>1</v>
      </c>
      <c r="AO108" s="54">
        <v>1</v>
      </c>
      <c r="AP108" s="54">
        <v>1</v>
      </c>
      <c r="AQ108" s="54">
        <v>1</v>
      </c>
      <c r="AR108" s="54">
        <v>1</v>
      </c>
      <c r="AS108" s="54">
        <v>1</v>
      </c>
    </row>
    <row r="109" spans="1:45" ht="43.35" customHeight="1" outlineLevel="1" x14ac:dyDescent="0.25">
      <c r="A109" s="5" t="s">
        <v>225</v>
      </c>
      <c r="B109" s="5" t="s">
        <v>144</v>
      </c>
      <c r="C109" s="226" t="s">
        <v>398</v>
      </c>
      <c r="D109" s="226"/>
      <c r="E109" s="226"/>
      <c r="F109" s="226"/>
      <c r="G109" s="226"/>
      <c r="H109" s="226"/>
      <c r="I109" s="226" t="s">
        <v>400</v>
      </c>
      <c r="J109" s="226"/>
      <c r="K109" s="226"/>
      <c r="L109" s="226"/>
      <c r="M109" s="226"/>
      <c r="N109" s="226"/>
      <c r="O109" s="54">
        <v>0.25</v>
      </c>
      <c r="P109" s="54">
        <v>1</v>
      </c>
      <c r="Q109" s="38">
        <f>1+$C$40</f>
        <v>1.5680622764569745</v>
      </c>
      <c r="R109" s="38">
        <f t="shared" ref="R109:AS109" si="99">1+$C$40</f>
        <v>1.5680622764569745</v>
      </c>
      <c r="S109" s="38">
        <f t="shared" si="99"/>
        <v>1.5680622764569745</v>
      </c>
      <c r="T109" s="38">
        <f t="shared" si="99"/>
        <v>1.5680622764569745</v>
      </c>
      <c r="U109" s="38">
        <f t="shared" si="99"/>
        <v>1.5680622764569745</v>
      </c>
      <c r="V109" s="38">
        <f t="shared" si="99"/>
        <v>1.5680622764569745</v>
      </c>
      <c r="W109" s="38">
        <f t="shared" si="99"/>
        <v>1.5680622764569745</v>
      </c>
      <c r="X109" s="38">
        <f t="shared" si="99"/>
        <v>1.5680622764569745</v>
      </c>
      <c r="Y109" s="38">
        <f t="shared" si="99"/>
        <v>1.5680622764569745</v>
      </c>
      <c r="Z109" s="38">
        <f t="shared" si="99"/>
        <v>1.5680622764569745</v>
      </c>
      <c r="AA109" s="38">
        <f t="shared" si="99"/>
        <v>1.5680622764569745</v>
      </c>
      <c r="AB109" s="38">
        <f t="shared" si="99"/>
        <v>1.5680622764569745</v>
      </c>
      <c r="AC109" s="38">
        <f t="shared" si="99"/>
        <v>1.5680622764569745</v>
      </c>
      <c r="AD109" s="38">
        <f t="shared" si="99"/>
        <v>1.5680622764569745</v>
      </c>
      <c r="AE109" s="38">
        <f t="shared" si="99"/>
        <v>1.5680622764569745</v>
      </c>
      <c r="AF109" s="38">
        <f t="shared" si="99"/>
        <v>1.5680622764569745</v>
      </c>
      <c r="AG109" s="38">
        <f t="shared" si="99"/>
        <v>1.5680622764569745</v>
      </c>
      <c r="AH109" s="38">
        <f t="shared" si="99"/>
        <v>1.5680622764569745</v>
      </c>
      <c r="AI109" s="38">
        <f t="shared" si="99"/>
        <v>1.5680622764569745</v>
      </c>
      <c r="AJ109" s="38">
        <f t="shared" si="99"/>
        <v>1.5680622764569745</v>
      </c>
      <c r="AK109" s="38">
        <f t="shared" si="99"/>
        <v>1.5680622764569745</v>
      </c>
      <c r="AL109" s="38">
        <f t="shared" si="99"/>
        <v>1.5680622764569745</v>
      </c>
      <c r="AM109" s="38">
        <f t="shared" si="99"/>
        <v>1.5680622764569745</v>
      </c>
      <c r="AN109" s="38">
        <f t="shared" si="99"/>
        <v>1.5680622764569745</v>
      </c>
      <c r="AO109" s="38">
        <f t="shared" si="99"/>
        <v>1.5680622764569745</v>
      </c>
      <c r="AP109" s="38">
        <f t="shared" si="99"/>
        <v>1.5680622764569745</v>
      </c>
      <c r="AQ109" s="38">
        <f t="shared" si="99"/>
        <v>1.5680622764569745</v>
      </c>
      <c r="AR109" s="38">
        <f t="shared" si="99"/>
        <v>1.5680622764569745</v>
      </c>
      <c r="AS109" s="38">
        <f t="shared" si="99"/>
        <v>1.5680622764569745</v>
      </c>
    </row>
    <row r="110" spans="1:45" ht="43.35" customHeight="1" outlineLevel="1" x14ac:dyDescent="0.25">
      <c r="A110" s="5" t="s">
        <v>226</v>
      </c>
      <c r="B110" s="5" t="s">
        <v>144</v>
      </c>
      <c r="C110" s="226" t="s">
        <v>398</v>
      </c>
      <c r="D110" s="226"/>
      <c r="E110" s="226"/>
      <c r="F110" s="226"/>
      <c r="G110" s="226"/>
      <c r="H110" s="226"/>
      <c r="I110" s="226" t="s">
        <v>401</v>
      </c>
      <c r="J110" s="226"/>
      <c r="K110" s="226"/>
      <c r="L110" s="226"/>
      <c r="M110" s="226"/>
      <c r="N110" s="226"/>
      <c r="O110" s="54">
        <v>0.25</v>
      </c>
      <c r="P110" s="54">
        <v>1</v>
      </c>
      <c r="Q110" s="38">
        <f>1+$C$59</f>
        <v>1.5680622764569745</v>
      </c>
      <c r="R110" s="38">
        <f t="shared" ref="R110:AS110" si="100">1+$C$59</f>
        <v>1.5680622764569745</v>
      </c>
      <c r="S110" s="38">
        <f t="shared" si="100"/>
        <v>1.5680622764569745</v>
      </c>
      <c r="T110" s="38">
        <f t="shared" si="100"/>
        <v>1.5680622764569745</v>
      </c>
      <c r="U110" s="38">
        <f t="shared" si="100"/>
        <v>1.5680622764569745</v>
      </c>
      <c r="V110" s="38">
        <f t="shared" si="100"/>
        <v>1.5680622764569745</v>
      </c>
      <c r="W110" s="38">
        <f t="shared" si="100"/>
        <v>1.5680622764569745</v>
      </c>
      <c r="X110" s="38">
        <f t="shared" si="100"/>
        <v>1.5680622764569745</v>
      </c>
      <c r="Y110" s="38">
        <f t="shared" si="100"/>
        <v>1.5680622764569745</v>
      </c>
      <c r="Z110" s="38">
        <f t="shared" si="100"/>
        <v>1.5680622764569745</v>
      </c>
      <c r="AA110" s="38">
        <f t="shared" si="100"/>
        <v>1.5680622764569745</v>
      </c>
      <c r="AB110" s="38">
        <f t="shared" si="100"/>
        <v>1.5680622764569745</v>
      </c>
      <c r="AC110" s="38">
        <f t="shared" si="100"/>
        <v>1.5680622764569745</v>
      </c>
      <c r="AD110" s="38">
        <f t="shared" si="100"/>
        <v>1.5680622764569745</v>
      </c>
      <c r="AE110" s="38">
        <f t="shared" si="100"/>
        <v>1.5680622764569745</v>
      </c>
      <c r="AF110" s="38">
        <f t="shared" si="100"/>
        <v>1.5680622764569745</v>
      </c>
      <c r="AG110" s="38">
        <f t="shared" si="100"/>
        <v>1.5680622764569745</v>
      </c>
      <c r="AH110" s="38">
        <f t="shared" si="100"/>
        <v>1.5680622764569745</v>
      </c>
      <c r="AI110" s="38">
        <f t="shared" si="100"/>
        <v>1.5680622764569745</v>
      </c>
      <c r="AJ110" s="38">
        <f t="shared" si="100"/>
        <v>1.5680622764569745</v>
      </c>
      <c r="AK110" s="38">
        <f t="shared" si="100"/>
        <v>1.5680622764569745</v>
      </c>
      <c r="AL110" s="38">
        <f t="shared" si="100"/>
        <v>1.5680622764569745</v>
      </c>
      <c r="AM110" s="38">
        <f t="shared" si="100"/>
        <v>1.5680622764569745</v>
      </c>
      <c r="AN110" s="38">
        <f t="shared" si="100"/>
        <v>1.5680622764569745</v>
      </c>
      <c r="AO110" s="38">
        <f t="shared" si="100"/>
        <v>1.5680622764569745</v>
      </c>
      <c r="AP110" s="38">
        <f t="shared" si="100"/>
        <v>1.5680622764569745</v>
      </c>
      <c r="AQ110" s="38">
        <f t="shared" si="100"/>
        <v>1.5680622764569745</v>
      </c>
      <c r="AR110" s="38">
        <f t="shared" si="100"/>
        <v>1.5680622764569745</v>
      </c>
      <c r="AS110" s="38">
        <f t="shared" si="100"/>
        <v>1.5680622764569745</v>
      </c>
    </row>
    <row r="111" spans="1:45" ht="43.35" customHeight="1" outlineLevel="1" x14ac:dyDescent="0.25">
      <c r="A111" s="5" t="s">
        <v>285</v>
      </c>
      <c r="B111" s="5" t="s">
        <v>144</v>
      </c>
      <c r="C111" s="226" t="s">
        <v>398</v>
      </c>
      <c r="D111" s="226"/>
      <c r="E111" s="226"/>
      <c r="F111" s="226"/>
      <c r="G111" s="226"/>
      <c r="H111" s="226"/>
      <c r="I111" s="226" t="s">
        <v>402</v>
      </c>
      <c r="J111" s="226"/>
      <c r="K111" s="226"/>
      <c r="L111" s="226"/>
      <c r="M111" s="226"/>
      <c r="N111" s="226"/>
      <c r="O111" s="54">
        <v>0.25</v>
      </c>
      <c r="P111" s="54">
        <v>1</v>
      </c>
      <c r="Q111" s="54">
        <v>1</v>
      </c>
      <c r="R111" s="54">
        <v>1</v>
      </c>
      <c r="S111" s="54">
        <v>1</v>
      </c>
      <c r="T111" s="54">
        <v>1</v>
      </c>
      <c r="U111" s="54">
        <v>1</v>
      </c>
      <c r="V111" s="54">
        <v>1</v>
      </c>
      <c r="W111" s="54">
        <v>1</v>
      </c>
      <c r="X111" s="54">
        <v>1</v>
      </c>
      <c r="Y111" s="54">
        <v>1</v>
      </c>
      <c r="Z111" s="54">
        <v>1</v>
      </c>
      <c r="AA111" s="54">
        <v>1</v>
      </c>
      <c r="AB111" s="54">
        <v>1</v>
      </c>
      <c r="AC111" s="54">
        <v>1</v>
      </c>
      <c r="AD111" s="54">
        <v>1</v>
      </c>
      <c r="AE111" s="54">
        <v>1</v>
      </c>
      <c r="AF111" s="54">
        <v>1</v>
      </c>
      <c r="AG111" s="54">
        <v>1</v>
      </c>
      <c r="AH111" s="54">
        <v>1</v>
      </c>
      <c r="AI111" s="54">
        <v>1</v>
      </c>
      <c r="AJ111" s="54">
        <v>1</v>
      </c>
      <c r="AK111" s="54">
        <v>1</v>
      </c>
      <c r="AL111" s="54">
        <v>1</v>
      </c>
      <c r="AM111" s="54">
        <v>1</v>
      </c>
      <c r="AN111" s="54">
        <v>1</v>
      </c>
      <c r="AO111" s="54">
        <v>1</v>
      </c>
      <c r="AP111" s="54">
        <v>1</v>
      </c>
      <c r="AQ111" s="54">
        <v>1</v>
      </c>
      <c r="AR111" s="54">
        <v>1</v>
      </c>
      <c r="AS111" s="54">
        <v>1</v>
      </c>
    </row>
    <row r="112" spans="1:45" ht="43.35" customHeight="1" outlineLevel="1" x14ac:dyDescent="0.25">
      <c r="A112" s="5" t="s">
        <v>286</v>
      </c>
      <c r="B112" s="5" t="s">
        <v>144</v>
      </c>
      <c r="C112" s="226" t="s">
        <v>398</v>
      </c>
      <c r="D112" s="226"/>
      <c r="E112" s="226"/>
      <c r="F112" s="226"/>
      <c r="G112" s="226"/>
      <c r="H112" s="226"/>
      <c r="I112" s="226" t="s">
        <v>402</v>
      </c>
      <c r="J112" s="226"/>
      <c r="K112" s="226"/>
      <c r="L112" s="226"/>
      <c r="M112" s="226"/>
      <c r="N112" s="226"/>
      <c r="O112" s="54">
        <v>0.25</v>
      </c>
      <c r="P112" s="54">
        <v>1</v>
      </c>
      <c r="Q112" s="54">
        <v>1</v>
      </c>
      <c r="R112" s="54">
        <v>1</v>
      </c>
      <c r="S112" s="54">
        <v>1</v>
      </c>
      <c r="T112" s="54">
        <v>1</v>
      </c>
      <c r="U112" s="54">
        <v>1</v>
      </c>
      <c r="V112" s="54">
        <v>1</v>
      </c>
      <c r="W112" s="54">
        <v>1</v>
      </c>
      <c r="X112" s="54">
        <v>1</v>
      </c>
      <c r="Y112" s="54">
        <v>1</v>
      </c>
      <c r="Z112" s="54">
        <v>1</v>
      </c>
      <c r="AA112" s="54">
        <v>1</v>
      </c>
      <c r="AB112" s="54">
        <v>1</v>
      </c>
      <c r="AC112" s="54">
        <v>1</v>
      </c>
      <c r="AD112" s="54">
        <v>1</v>
      </c>
      <c r="AE112" s="54">
        <v>1</v>
      </c>
      <c r="AF112" s="54">
        <v>1</v>
      </c>
      <c r="AG112" s="54">
        <v>1</v>
      </c>
      <c r="AH112" s="54">
        <v>1</v>
      </c>
      <c r="AI112" s="54">
        <v>1</v>
      </c>
      <c r="AJ112" s="54">
        <v>1</v>
      </c>
      <c r="AK112" s="54">
        <v>1</v>
      </c>
      <c r="AL112" s="54">
        <v>1</v>
      </c>
      <c r="AM112" s="54">
        <v>1</v>
      </c>
      <c r="AN112" s="54">
        <v>1</v>
      </c>
      <c r="AO112" s="54">
        <v>1</v>
      </c>
      <c r="AP112" s="54">
        <v>1</v>
      </c>
      <c r="AQ112" s="54">
        <v>1</v>
      </c>
      <c r="AR112" s="54">
        <v>1</v>
      </c>
      <c r="AS112" s="54">
        <v>1</v>
      </c>
    </row>
    <row r="113" spans="1:45" ht="43.35" customHeight="1" outlineLevel="1" x14ac:dyDescent="0.25">
      <c r="A113" s="5" t="s">
        <v>287</v>
      </c>
      <c r="B113" s="5" t="s">
        <v>144</v>
      </c>
      <c r="C113" s="226" t="s">
        <v>398</v>
      </c>
      <c r="D113" s="226"/>
      <c r="E113" s="226"/>
      <c r="F113" s="226"/>
      <c r="G113" s="226"/>
      <c r="H113" s="226"/>
      <c r="I113" s="226" t="s">
        <v>402</v>
      </c>
      <c r="J113" s="226"/>
      <c r="K113" s="226"/>
      <c r="L113" s="226"/>
      <c r="M113" s="226"/>
      <c r="N113" s="226"/>
      <c r="O113" s="54">
        <v>0.25</v>
      </c>
      <c r="P113" s="54">
        <v>1</v>
      </c>
      <c r="Q113" s="54">
        <v>1</v>
      </c>
      <c r="R113" s="54">
        <v>1</v>
      </c>
      <c r="S113" s="54">
        <v>1</v>
      </c>
      <c r="T113" s="54">
        <v>1</v>
      </c>
      <c r="U113" s="54">
        <v>1</v>
      </c>
      <c r="V113" s="54">
        <v>1</v>
      </c>
      <c r="W113" s="54">
        <v>1</v>
      </c>
      <c r="X113" s="54">
        <v>1</v>
      </c>
      <c r="Y113" s="54">
        <v>1</v>
      </c>
      <c r="Z113" s="54">
        <v>1</v>
      </c>
      <c r="AA113" s="54">
        <v>1</v>
      </c>
      <c r="AB113" s="54">
        <v>1</v>
      </c>
      <c r="AC113" s="54">
        <v>1</v>
      </c>
      <c r="AD113" s="54">
        <v>1</v>
      </c>
      <c r="AE113" s="54">
        <v>1</v>
      </c>
      <c r="AF113" s="54">
        <v>1</v>
      </c>
      <c r="AG113" s="54">
        <v>1</v>
      </c>
      <c r="AH113" s="54">
        <v>1</v>
      </c>
      <c r="AI113" s="54">
        <v>1</v>
      </c>
      <c r="AJ113" s="54">
        <v>1</v>
      </c>
      <c r="AK113" s="54">
        <v>1</v>
      </c>
      <c r="AL113" s="54">
        <v>1</v>
      </c>
      <c r="AM113" s="54">
        <v>1</v>
      </c>
      <c r="AN113" s="54">
        <v>1</v>
      </c>
      <c r="AO113" s="54">
        <v>1</v>
      </c>
      <c r="AP113" s="54">
        <v>1</v>
      </c>
      <c r="AQ113" s="54">
        <v>1</v>
      </c>
      <c r="AR113" s="54">
        <v>1</v>
      </c>
      <c r="AS113" s="54">
        <v>1</v>
      </c>
    </row>
    <row r="114" spans="1:45" ht="43.35" customHeight="1" outlineLevel="1" x14ac:dyDescent="0.25">
      <c r="A114" s="5" t="s">
        <v>288</v>
      </c>
      <c r="B114" s="5" t="s">
        <v>144</v>
      </c>
      <c r="C114" s="226" t="s">
        <v>398</v>
      </c>
      <c r="D114" s="226"/>
      <c r="E114" s="226"/>
      <c r="F114" s="226"/>
      <c r="G114" s="226"/>
      <c r="H114" s="226"/>
      <c r="I114" s="226" t="s">
        <v>402</v>
      </c>
      <c r="J114" s="226"/>
      <c r="K114" s="226"/>
      <c r="L114" s="226"/>
      <c r="M114" s="226"/>
      <c r="N114" s="226"/>
      <c r="O114" s="54">
        <v>0.25</v>
      </c>
      <c r="P114" s="54">
        <v>1</v>
      </c>
      <c r="Q114" s="54">
        <v>1</v>
      </c>
      <c r="R114" s="54">
        <v>1</v>
      </c>
      <c r="S114" s="54">
        <v>1</v>
      </c>
      <c r="T114" s="54">
        <v>1</v>
      </c>
      <c r="U114" s="54">
        <v>1</v>
      </c>
      <c r="V114" s="54">
        <v>1</v>
      </c>
      <c r="W114" s="54">
        <v>1</v>
      </c>
      <c r="X114" s="54">
        <v>1</v>
      </c>
      <c r="Y114" s="54">
        <v>1</v>
      </c>
      <c r="Z114" s="54">
        <v>1</v>
      </c>
      <c r="AA114" s="54">
        <v>1</v>
      </c>
      <c r="AB114" s="54">
        <v>1</v>
      </c>
      <c r="AC114" s="54">
        <v>1</v>
      </c>
      <c r="AD114" s="54">
        <v>1</v>
      </c>
      <c r="AE114" s="54">
        <v>1</v>
      </c>
      <c r="AF114" s="54">
        <v>1</v>
      </c>
      <c r="AG114" s="54">
        <v>1</v>
      </c>
      <c r="AH114" s="54">
        <v>1</v>
      </c>
      <c r="AI114" s="54">
        <v>1</v>
      </c>
      <c r="AJ114" s="54">
        <v>1</v>
      </c>
      <c r="AK114" s="54">
        <v>1</v>
      </c>
      <c r="AL114" s="54">
        <v>1</v>
      </c>
      <c r="AM114" s="54">
        <v>1</v>
      </c>
      <c r="AN114" s="54">
        <v>1</v>
      </c>
      <c r="AO114" s="54">
        <v>1</v>
      </c>
      <c r="AP114" s="54">
        <v>1</v>
      </c>
      <c r="AQ114" s="54">
        <v>1</v>
      </c>
      <c r="AR114" s="54">
        <v>1</v>
      </c>
      <c r="AS114" s="54">
        <v>1</v>
      </c>
    </row>
    <row r="115" spans="1:45" ht="43.35" customHeight="1" outlineLevel="1" x14ac:dyDescent="0.25">
      <c r="C115" s="44"/>
      <c r="D115" s="44"/>
      <c r="E115" s="44"/>
      <c r="F115" s="44"/>
      <c r="G115" s="44"/>
      <c r="H115" s="44"/>
      <c r="I115" s="44"/>
      <c r="J115" s="44"/>
      <c r="K115" s="44"/>
      <c r="L115" s="44"/>
      <c r="M115" s="44"/>
      <c r="N115" s="44"/>
      <c r="O115" s="109"/>
      <c r="P115" s="109"/>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row>
    <row r="116" spans="1:45" ht="43.35" customHeight="1" outlineLevel="1" x14ac:dyDescent="0.25">
      <c r="C116" s="44"/>
      <c r="D116" s="44"/>
      <c r="E116" s="44"/>
      <c r="F116" s="44"/>
      <c r="G116" s="44"/>
      <c r="H116" s="44"/>
      <c r="I116" s="44"/>
      <c r="J116" s="44"/>
      <c r="K116" s="44"/>
      <c r="L116" s="44"/>
      <c r="M116" s="44"/>
      <c r="N116" s="44"/>
      <c r="O116" s="109"/>
      <c r="P116" s="109"/>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c r="AL116" s="115"/>
      <c r="AM116" s="115"/>
      <c r="AN116" s="115"/>
      <c r="AO116" s="115"/>
      <c r="AP116" s="115"/>
      <c r="AQ116" s="115"/>
      <c r="AR116" s="115"/>
      <c r="AS116" s="115"/>
    </row>
    <row r="117" spans="1:45" ht="14.45" customHeight="1" outlineLevel="1" x14ac:dyDescent="0.25">
      <c r="C117" s="47"/>
      <c r="D117" s="47"/>
      <c r="E117" s="47"/>
      <c r="F117" s="58"/>
      <c r="G117" s="58"/>
      <c r="H117" s="58"/>
      <c r="I117" s="44"/>
      <c r="J117" s="44"/>
      <c r="K117" s="44"/>
      <c r="L117" s="58"/>
      <c r="M117" s="58"/>
      <c r="N117" s="58"/>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row>
    <row r="118" spans="1:45" ht="14.45" customHeight="1" outlineLevel="1" x14ac:dyDescent="0.25">
      <c r="C118" s="47"/>
      <c r="D118" s="47"/>
      <c r="E118" s="47"/>
      <c r="F118" s="58"/>
      <c r="G118" s="58"/>
      <c r="H118" s="58"/>
      <c r="I118" s="44"/>
      <c r="J118" s="44"/>
      <c r="K118" s="44"/>
      <c r="L118" s="58"/>
      <c r="M118" s="58"/>
      <c r="N118" s="58"/>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row>
    <row r="119" spans="1:45" ht="29.1" customHeight="1" outlineLevel="1" x14ac:dyDescent="0.25">
      <c r="A119" s="53" t="s">
        <v>403</v>
      </c>
      <c r="B119" s="6" t="s">
        <v>61</v>
      </c>
      <c r="C119" s="225" t="s">
        <v>32</v>
      </c>
      <c r="D119" s="225"/>
      <c r="E119" s="225"/>
      <c r="F119" s="225"/>
      <c r="G119" s="225"/>
      <c r="H119" s="225"/>
      <c r="I119" s="225" t="s">
        <v>33</v>
      </c>
      <c r="J119" s="225"/>
      <c r="K119" s="225"/>
      <c r="L119" s="225"/>
      <c r="M119" s="225"/>
      <c r="N119" s="225"/>
      <c r="O119" s="6">
        <v>2026</v>
      </c>
      <c r="P119" s="6">
        <f>O119+1</f>
        <v>2027</v>
      </c>
      <c r="Q119" s="6">
        <f t="shared" ref="Q119" si="101">P119+1</f>
        <v>2028</v>
      </c>
      <c r="R119" s="6">
        <f t="shared" ref="R119" si="102">Q119+1</f>
        <v>2029</v>
      </c>
      <c r="S119" s="6">
        <f t="shared" ref="S119" si="103">R119+1</f>
        <v>2030</v>
      </c>
      <c r="T119" s="6">
        <f t="shared" ref="T119" si="104">S119+1</f>
        <v>2031</v>
      </c>
      <c r="U119" s="6">
        <f t="shared" ref="U119" si="105">T119+1</f>
        <v>2032</v>
      </c>
      <c r="V119" s="6">
        <f t="shared" ref="V119" si="106">U119+1</f>
        <v>2033</v>
      </c>
      <c r="W119" s="6">
        <f t="shared" ref="W119" si="107">V119+1</f>
        <v>2034</v>
      </c>
      <c r="X119" s="6">
        <f t="shared" ref="X119" si="108">W119+1</f>
        <v>2035</v>
      </c>
      <c r="Y119" s="6">
        <f t="shared" ref="Y119" si="109">X119+1</f>
        <v>2036</v>
      </c>
      <c r="Z119" s="6">
        <f t="shared" ref="Z119" si="110">Y119+1</f>
        <v>2037</v>
      </c>
      <c r="AA119" s="6">
        <f t="shared" ref="AA119" si="111">Z119+1</f>
        <v>2038</v>
      </c>
      <c r="AB119" s="6">
        <f t="shared" ref="AB119" si="112">AA119+1</f>
        <v>2039</v>
      </c>
      <c r="AC119" s="6">
        <f t="shared" ref="AC119" si="113">AB119+1</f>
        <v>2040</v>
      </c>
      <c r="AD119" s="6">
        <f t="shared" ref="AD119" si="114">AC119+1</f>
        <v>2041</v>
      </c>
      <c r="AE119" s="6">
        <f t="shared" ref="AE119" si="115">AD119+1</f>
        <v>2042</v>
      </c>
      <c r="AF119" s="6">
        <f t="shared" ref="AF119" si="116">AE119+1</f>
        <v>2043</v>
      </c>
      <c r="AG119" s="6">
        <f t="shared" ref="AG119" si="117">AF119+1</f>
        <v>2044</v>
      </c>
      <c r="AH119" s="6">
        <f t="shared" ref="AH119" si="118">AG119+1</f>
        <v>2045</v>
      </c>
      <c r="AI119" s="6">
        <f t="shared" ref="AI119" si="119">AH119+1</f>
        <v>2046</v>
      </c>
      <c r="AJ119" s="6">
        <f t="shared" ref="AJ119" si="120">AI119+1</f>
        <v>2047</v>
      </c>
      <c r="AK119" s="6">
        <f t="shared" ref="AK119" si="121">AJ119+1</f>
        <v>2048</v>
      </c>
      <c r="AL119" s="6">
        <f t="shared" ref="AL119" si="122">AK119+1</f>
        <v>2049</v>
      </c>
      <c r="AM119" s="6">
        <f t="shared" ref="AM119" si="123">AL119+1</f>
        <v>2050</v>
      </c>
      <c r="AN119" s="6">
        <f t="shared" ref="AN119" si="124">AM119+1</f>
        <v>2051</v>
      </c>
      <c r="AO119" s="6">
        <f t="shared" ref="AO119" si="125">AN119+1</f>
        <v>2052</v>
      </c>
      <c r="AP119" s="6">
        <f t="shared" ref="AP119" si="126">AO119+1</f>
        <v>2053</v>
      </c>
      <c r="AQ119" s="6">
        <f t="shared" ref="AQ119" si="127">AP119+1</f>
        <v>2054</v>
      </c>
      <c r="AR119" s="6">
        <f t="shared" ref="AR119" si="128">AQ119+1</f>
        <v>2055</v>
      </c>
      <c r="AS119" s="6">
        <f t="shared" ref="AS119" si="129">AR119+1</f>
        <v>2056</v>
      </c>
    </row>
    <row r="120" spans="1:45" ht="57.6" customHeight="1" x14ac:dyDescent="0.25">
      <c r="A120" s="5" t="s">
        <v>121</v>
      </c>
      <c r="B120" s="5" t="s">
        <v>144</v>
      </c>
      <c r="C120" s="226" t="s">
        <v>404</v>
      </c>
      <c r="D120" s="226"/>
      <c r="E120" s="226"/>
      <c r="F120" s="226"/>
      <c r="G120" s="226"/>
      <c r="H120" s="226"/>
      <c r="I120" s="226" t="s">
        <v>399</v>
      </c>
      <c r="J120" s="226"/>
      <c r="K120" s="226"/>
      <c r="L120" s="226"/>
      <c r="M120" s="226"/>
      <c r="N120" s="226"/>
      <c r="O120" s="54">
        <v>0.5</v>
      </c>
      <c r="P120" s="54">
        <v>1</v>
      </c>
      <c r="Q120" s="54">
        <v>1</v>
      </c>
      <c r="R120" s="54">
        <v>1</v>
      </c>
      <c r="S120" s="54">
        <v>1</v>
      </c>
      <c r="T120" s="54">
        <v>1</v>
      </c>
      <c r="U120" s="54">
        <v>1</v>
      </c>
      <c r="V120" s="54">
        <v>1</v>
      </c>
      <c r="W120" s="54">
        <v>1</v>
      </c>
      <c r="X120" s="54">
        <v>1</v>
      </c>
      <c r="Y120" s="54">
        <v>1</v>
      </c>
      <c r="Z120" s="54">
        <v>1</v>
      </c>
      <c r="AA120" s="54">
        <v>1</v>
      </c>
      <c r="AB120" s="54">
        <v>1</v>
      </c>
      <c r="AC120" s="54">
        <v>1</v>
      </c>
      <c r="AD120" s="54">
        <v>1</v>
      </c>
      <c r="AE120" s="54">
        <v>1</v>
      </c>
      <c r="AF120" s="54">
        <v>1</v>
      </c>
      <c r="AG120" s="54">
        <v>1</v>
      </c>
      <c r="AH120" s="54">
        <v>1</v>
      </c>
      <c r="AI120" s="54">
        <v>1</v>
      </c>
      <c r="AJ120" s="54">
        <v>1</v>
      </c>
      <c r="AK120" s="54">
        <v>1</v>
      </c>
      <c r="AL120" s="54">
        <v>1</v>
      </c>
      <c r="AM120" s="54">
        <v>1</v>
      </c>
      <c r="AN120" s="54">
        <v>1</v>
      </c>
      <c r="AO120" s="54">
        <v>1</v>
      </c>
      <c r="AP120" s="54">
        <v>1</v>
      </c>
      <c r="AQ120" s="54">
        <v>1</v>
      </c>
      <c r="AR120" s="54">
        <v>1</v>
      </c>
      <c r="AS120" s="54">
        <v>1</v>
      </c>
    </row>
    <row r="121" spans="1:45" ht="57.6" customHeight="1" x14ac:dyDescent="0.25">
      <c r="A121" s="5" t="s">
        <v>122</v>
      </c>
      <c r="B121" s="5" t="s">
        <v>144</v>
      </c>
      <c r="C121" s="226" t="s">
        <v>404</v>
      </c>
      <c r="D121" s="226"/>
      <c r="E121" s="226"/>
      <c r="F121" s="226"/>
      <c r="G121" s="226"/>
      <c r="H121" s="226"/>
      <c r="I121" s="226" t="s">
        <v>399</v>
      </c>
      <c r="J121" s="226"/>
      <c r="K121" s="226"/>
      <c r="L121" s="226"/>
      <c r="M121" s="226"/>
      <c r="N121" s="226"/>
      <c r="O121" s="54">
        <v>0.5</v>
      </c>
      <c r="P121" s="54">
        <v>1</v>
      </c>
      <c r="Q121" s="54">
        <v>1</v>
      </c>
      <c r="R121" s="54">
        <v>1</v>
      </c>
      <c r="S121" s="54">
        <v>1</v>
      </c>
      <c r="T121" s="54">
        <v>1</v>
      </c>
      <c r="U121" s="54">
        <v>1</v>
      </c>
      <c r="V121" s="54">
        <v>1</v>
      </c>
      <c r="W121" s="54">
        <v>1</v>
      </c>
      <c r="X121" s="54">
        <v>1</v>
      </c>
      <c r="Y121" s="54">
        <v>1</v>
      </c>
      <c r="Z121" s="54">
        <v>1</v>
      </c>
      <c r="AA121" s="54">
        <v>1</v>
      </c>
      <c r="AB121" s="54">
        <v>1</v>
      </c>
      <c r="AC121" s="54">
        <v>1</v>
      </c>
      <c r="AD121" s="54">
        <v>1</v>
      </c>
      <c r="AE121" s="54">
        <v>1</v>
      </c>
      <c r="AF121" s="54">
        <v>1</v>
      </c>
      <c r="AG121" s="54">
        <v>1</v>
      </c>
      <c r="AH121" s="54">
        <v>1</v>
      </c>
      <c r="AI121" s="54">
        <v>1</v>
      </c>
      <c r="AJ121" s="54">
        <v>1</v>
      </c>
      <c r="AK121" s="54">
        <v>1</v>
      </c>
      <c r="AL121" s="54">
        <v>1</v>
      </c>
      <c r="AM121" s="54">
        <v>1</v>
      </c>
      <c r="AN121" s="54">
        <v>1</v>
      </c>
      <c r="AO121" s="54">
        <v>1</v>
      </c>
      <c r="AP121" s="54">
        <v>1</v>
      </c>
      <c r="AQ121" s="54">
        <v>1</v>
      </c>
      <c r="AR121" s="54">
        <v>1</v>
      </c>
      <c r="AS121" s="54">
        <v>1</v>
      </c>
    </row>
    <row r="122" spans="1:45" ht="43.35" customHeight="1" x14ac:dyDescent="0.25">
      <c r="A122" s="5" t="s">
        <v>123</v>
      </c>
      <c r="B122" s="5" t="s">
        <v>144</v>
      </c>
      <c r="C122" s="226" t="s">
        <v>404</v>
      </c>
      <c r="D122" s="226"/>
      <c r="E122" s="226"/>
      <c r="F122" s="226"/>
      <c r="G122" s="226"/>
      <c r="H122" s="226"/>
      <c r="I122" s="226" t="s">
        <v>399</v>
      </c>
      <c r="J122" s="226"/>
      <c r="K122" s="226"/>
      <c r="L122" s="226"/>
      <c r="M122" s="226"/>
      <c r="N122" s="226"/>
      <c r="O122" s="54">
        <v>0.5</v>
      </c>
      <c r="P122" s="54">
        <v>1</v>
      </c>
      <c r="Q122" s="54">
        <v>1</v>
      </c>
      <c r="R122" s="54">
        <v>1</v>
      </c>
      <c r="S122" s="54">
        <v>1</v>
      </c>
      <c r="T122" s="54">
        <v>1</v>
      </c>
      <c r="U122" s="54">
        <v>1</v>
      </c>
      <c r="V122" s="54">
        <v>1</v>
      </c>
      <c r="W122" s="54">
        <v>1</v>
      </c>
      <c r="X122" s="54">
        <v>1</v>
      </c>
      <c r="Y122" s="54">
        <v>1</v>
      </c>
      <c r="Z122" s="54">
        <v>1</v>
      </c>
      <c r="AA122" s="54">
        <v>1</v>
      </c>
      <c r="AB122" s="54">
        <v>1</v>
      </c>
      <c r="AC122" s="54">
        <v>1</v>
      </c>
      <c r="AD122" s="54">
        <v>1</v>
      </c>
      <c r="AE122" s="54">
        <v>1</v>
      </c>
      <c r="AF122" s="54">
        <v>1</v>
      </c>
      <c r="AG122" s="54">
        <v>1</v>
      </c>
      <c r="AH122" s="54">
        <v>1</v>
      </c>
      <c r="AI122" s="54">
        <v>1</v>
      </c>
      <c r="AJ122" s="54">
        <v>1</v>
      </c>
      <c r="AK122" s="54">
        <v>1</v>
      </c>
      <c r="AL122" s="54">
        <v>1</v>
      </c>
      <c r="AM122" s="54">
        <v>1</v>
      </c>
      <c r="AN122" s="54">
        <v>1</v>
      </c>
      <c r="AO122" s="54">
        <v>1</v>
      </c>
      <c r="AP122" s="54">
        <v>1</v>
      </c>
      <c r="AQ122" s="54">
        <v>1</v>
      </c>
      <c r="AR122" s="54">
        <v>1</v>
      </c>
      <c r="AS122" s="54">
        <v>1</v>
      </c>
    </row>
    <row r="123" spans="1:45" ht="43.35" customHeight="1" x14ac:dyDescent="0.25">
      <c r="A123" s="5" t="s">
        <v>225</v>
      </c>
      <c r="B123" s="5" t="s">
        <v>144</v>
      </c>
      <c r="C123" s="226" t="s">
        <v>404</v>
      </c>
      <c r="D123" s="226"/>
      <c r="E123" s="226"/>
      <c r="F123" s="226"/>
      <c r="G123" s="226"/>
      <c r="H123" s="226"/>
      <c r="I123" s="226" t="s">
        <v>405</v>
      </c>
      <c r="J123" s="226"/>
      <c r="K123" s="226"/>
      <c r="L123" s="226"/>
      <c r="M123" s="226"/>
      <c r="N123" s="226"/>
      <c r="O123" s="54">
        <v>0.25</v>
      </c>
      <c r="P123" s="54">
        <v>1</v>
      </c>
      <c r="Q123" s="54">
        <v>1</v>
      </c>
      <c r="R123" s="54">
        <v>1</v>
      </c>
      <c r="S123" s="54">
        <v>1</v>
      </c>
      <c r="T123" s="54">
        <v>1</v>
      </c>
      <c r="U123" s="54">
        <v>1</v>
      </c>
      <c r="V123" s="54">
        <v>1</v>
      </c>
      <c r="W123" s="54">
        <v>1</v>
      </c>
      <c r="X123" s="54">
        <v>1</v>
      </c>
      <c r="Y123" s="54">
        <v>1</v>
      </c>
      <c r="Z123" s="54">
        <v>1</v>
      </c>
      <c r="AA123" s="54">
        <v>1</v>
      </c>
      <c r="AB123" s="54">
        <v>1</v>
      </c>
      <c r="AC123" s="54">
        <v>1</v>
      </c>
      <c r="AD123" s="54">
        <v>1</v>
      </c>
      <c r="AE123" s="54">
        <v>1</v>
      </c>
      <c r="AF123" s="54">
        <v>1</v>
      </c>
      <c r="AG123" s="54">
        <v>1</v>
      </c>
      <c r="AH123" s="54">
        <v>1</v>
      </c>
      <c r="AI123" s="54">
        <v>1</v>
      </c>
      <c r="AJ123" s="54">
        <v>1</v>
      </c>
      <c r="AK123" s="54">
        <v>1</v>
      </c>
      <c r="AL123" s="54">
        <v>1</v>
      </c>
      <c r="AM123" s="54">
        <v>1</v>
      </c>
      <c r="AN123" s="54">
        <v>1</v>
      </c>
      <c r="AO123" s="54">
        <v>1</v>
      </c>
      <c r="AP123" s="54">
        <v>1</v>
      </c>
      <c r="AQ123" s="54">
        <v>1</v>
      </c>
      <c r="AR123" s="54">
        <v>1</v>
      </c>
      <c r="AS123" s="54">
        <v>1</v>
      </c>
    </row>
    <row r="124" spans="1:45" ht="43.35" customHeight="1" x14ac:dyDescent="0.25">
      <c r="A124" s="5" t="s">
        <v>226</v>
      </c>
      <c r="B124" s="5" t="s">
        <v>144</v>
      </c>
      <c r="C124" s="226" t="s">
        <v>404</v>
      </c>
      <c r="D124" s="226"/>
      <c r="E124" s="226"/>
      <c r="F124" s="226"/>
      <c r="G124" s="226"/>
      <c r="H124" s="226"/>
      <c r="I124" s="226" t="s">
        <v>405</v>
      </c>
      <c r="J124" s="226"/>
      <c r="K124" s="226"/>
      <c r="L124" s="226"/>
      <c r="M124" s="226"/>
      <c r="N124" s="226"/>
      <c r="O124" s="54">
        <v>0.25</v>
      </c>
      <c r="P124" s="54">
        <v>1</v>
      </c>
      <c r="Q124" s="54">
        <v>1</v>
      </c>
      <c r="R124" s="54">
        <v>1</v>
      </c>
      <c r="S124" s="54">
        <v>1</v>
      </c>
      <c r="T124" s="54">
        <v>1</v>
      </c>
      <c r="U124" s="54">
        <v>1</v>
      </c>
      <c r="V124" s="54">
        <v>1</v>
      </c>
      <c r="W124" s="54">
        <v>1</v>
      </c>
      <c r="X124" s="54">
        <v>1</v>
      </c>
      <c r="Y124" s="54">
        <v>1</v>
      </c>
      <c r="Z124" s="54">
        <v>1</v>
      </c>
      <c r="AA124" s="54">
        <v>1</v>
      </c>
      <c r="AB124" s="54">
        <v>1</v>
      </c>
      <c r="AC124" s="54">
        <v>1</v>
      </c>
      <c r="AD124" s="54">
        <v>1</v>
      </c>
      <c r="AE124" s="54">
        <v>1</v>
      </c>
      <c r="AF124" s="54">
        <v>1</v>
      </c>
      <c r="AG124" s="54">
        <v>1</v>
      </c>
      <c r="AH124" s="54">
        <v>1</v>
      </c>
      <c r="AI124" s="54">
        <v>1</v>
      </c>
      <c r="AJ124" s="54">
        <v>1</v>
      </c>
      <c r="AK124" s="54">
        <v>1</v>
      </c>
      <c r="AL124" s="54">
        <v>1</v>
      </c>
      <c r="AM124" s="54">
        <v>1</v>
      </c>
      <c r="AN124" s="54">
        <v>1</v>
      </c>
      <c r="AO124" s="54">
        <v>1</v>
      </c>
      <c r="AP124" s="54">
        <v>1</v>
      </c>
      <c r="AQ124" s="54">
        <v>1</v>
      </c>
      <c r="AR124" s="54">
        <v>1</v>
      </c>
      <c r="AS124" s="54">
        <v>1</v>
      </c>
    </row>
    <row r="125" spans="1:45" ht="43.35" customHeight="1" outlineLevel="1" x14ac:dyDescent="0.25">
      <c r="A125" s="5" t="s">
        <v>285</v>
      </c>
      <c r="B125" s="5" t="s">
        <v>144</v>
      </c>
      <c r="C125" s="226" t="s">
        <v>398</v>
      </c>
      <c r="D125" s="226"/>
      <c r="E125" s="226"/>
      <c r="F125" s="226"/>
      <c r="G125" s="226"/>
      <c r="H125" s="226"/>
      <c r="I125" s="226" t="s">
        <v>402</v>
      </c>
      <c r="J125" s="226"/>
      <c r="K125" s="226"/>
      <c r="L125" s="226"/>
      <c r="M125" s="226"/>
      <c r="N125" s="226"/>
      <c r="O125" s="54">
        <v>0.25</v>
      </c>
      <c r="P125" s="54">
        <v>1</v>
      </c>
      <c r="Q125" s="54">
        <v>1</v>
      </c>
      <c r="R125" s="54">
        <v>1</v>
      </c>
      <c r="S125" s="54">
        <v>1</v>
      </c>
      <c r="T125" s="54">
        <v>1</v>
      </c>
      <c r="U125" s="54">
        <v>1</v>
      </c>
      <c r="V125" s="54">
        <v>1</v>
      </c>
      <c r="W125" s="54">
        <v>1</v>
      </c>
      <c r="X125" s="54">
        <v>1</v>
      </c>
      <c r="Y125" s="54">
        <v>1</v>
      </c>
      <c r="Z125" s="54">
        <v>1</v>
      </c>
      <c r="AA125" s="54">
        <v>1</v>
      </c>
      <c r="AB125" s="54">
        <v>1</v>
      </c>
      <c r="AC125" s="54">
        <v>1</v>
      </c>
      <c r="AD125" s="54">
        <v>1</v>
      </c>
      <c r="AE125" s="54">
        <v>1</v>
      </c>
      <c r="AF125" s="54">
        <v>1</v>
      </c>
      <c r="AG125" s="54">
        <v>1</v>
      </c>
      <c r="AH125" s="54">
        <v>1</v>
      </c>
      <c r="AI125" s="54">
        <v>1</v>
      </c>
      <c r="AJ125" s="54">
        <v>1</v>
      </c>
      <c r="AK125" s="54">
        <v>1</v>
      </c>
      <c r="AL125" s="54">
        <v>1</v>
      </c>
      <c r="AM125" s="54">
        <v>1</v>
      </c>
      <c r="AN125" s="54">
        <v>1</v>
      </c>
      <c r="AO125" s="54">
        <v>1</v>
      </c>
      <c r="AP125" s="54">
        <v>1</v>
      </c>
      <c r="AQ125" s="54">
        <v>1</v>
      </c>
      <c r="AR125" s="54">
        <v>1</v>
      </c>
      <c r="AS125" s="54">
        <v>1</v>
      </c>
    </row>
    <row r="126" spans="1:45" ht="43.35" customHeight="1" outlineLevel="1" x14ac:dyDescent="0.25">
      <c r="A126" s="5" t="s">
        <v>286</v>
      </c>
      <c r="B126" s="5" t="s">
        <v>144</v>
      </c>
      <c r="C126" s="226" t="s">
        <v>398</v>
      </c>
      <c r="D126" s="226"/>
      <c r="E126" s="226"/>
      <c r="F126" s="226"/>
      <c r="G126" s="226"/>
      <c r="H126" s="226"/>
      <c r="I126" s="226" t="s">
        <v>402</v>
      </c>
      <c r="J126" s="226"/>
      <c r="K126" s="226"/>
      <c r="L126" s="226"/>
      <c r="M126" s="226"/>
      <c r="N126" s="226"/>
      <c r="O126" s="54">
        <v>0.25</v>
      </c>
      <c r="P126" s="54">
        <v>1</v>
      </c>
      <c r="Q126" s="54">
        <v>1</v>
      </c>
      <c r="R126" s="54">
        <v>1</v>
      </c>
      <c r="S126" s="54">
        <v>1</v>
      </c>
      <c r="T126" s="54">
        <v>1</v>
      </c>
      <c r="U126" s="54">
        <v>1</v>
      </c>
      <c r="V126" s="54">
        <v>1</v>
      </c>
      <c r="W126" s="54">
        <v>1</v>
      </c>
      <c r="X126" s="54">
        <v>1</v>
      </c>
      <c r="Y126" s="54">
        <v>1</v>
      </c>
      <c r="Z126" s="54">
        <v>1</v>
      </c>
      <c r="AA126" s="54">
        <v>1</v>
      </c>
      <c r="AB126" s="54">
        <v>1</v>
      </c>
      <c r="AC126" s="54">
        <v>1</v>
      </c>
      <c r="AD126" s="54">
        <v>1</v>
      </c>
      <c r="AE126" s="54">
        <v>1</v>
      </c>
      <c r="AF126" s="54">
        <v>1</v>
      </c>
      <c r="AG126" s="54">
        <v>1</v>
      </c>
      <c r="AH126" s="54">
        <v>1</v>
      </c>
      <c r="AI126" s="54">
        <v>1</v>
      </c>
      <c r="AJ126" s="54">
        <v>1</v>
      </c>
      <c r="AK126" s="54">
        <v>1</v>
      </c>
      <c r="AL126" s="54">
        <v>1</v>
      </c>
      <c r="AM126" s="54">
        <v>1</v>
      </c>
      <c r="AN126" s="54">
        <v>1</v>
      </c>
      <c r="AO126" s="54">
        <v>1</v>
      </c>
      <c r="AP126" s="54">
        <v>1</v>
      </c>
      <c r="AQ126" s="54">
        <v>1</v>
      </c>
      <c r="AR126" s="54">
        <v>1</v>
      </c>
      <c r="AS126" s="54">
        <v>1</v>
      </c>
    </row>
    <row r="127" spans="1:45" ht="43.35" customHeight="1" outlineLevel="1" x14ac:dyDescent="0.25">
      <c r="A127" s="5" t="s">
        <v>287</v>
      </c>
      <c r="B127" s="5" t="s">
        <v>144</v>
      </c>
      <c r="C127" s="226" t="s">
        <v>398</v>
      </c>
      <c r="D127" s="226"/>
      <c r="E127" s="226"/>
      <c r="F127" s="226"/>
      <c r="G127" s="226"/>
      <c r="H127" s="226"/>
      <c r="I127" s="226" t="s">
        <v>402</v>
      </c>
      <c r="J127" s="226"/>
      <c r="K127" s="226"/>
      <c r="L127" s="226"/>
      <c r="M127" s="226"/>
      <c r="N127" s="226"/>
      <c r="O127" s="54">
        <v>0.25</v>
      </c>
      <c r="P127" s="54">
        <v>1</v>
      </c>
      <c r="Q127" s="54">
        <v>1</v>
      </c>
      <c r="R127" s="54">
        <v>1</v>
      </c>
      <c r="S127" s="54">
        <v>1</v>
      </c>
      <c r="T127" s="54">
        <v>1</v>
      </c>
      <c r="U127" s="54">
        <v>1</v>
      </c>
      <c r="V127" s="54">
        <v>1</v>
      </c>
      <c r="W127" s="54">
        <v>1</v>
      </c>
      <c r="X127" s="54">
        <v>1</v>
      </c>
      <c r="Y127" s="54">
        <v>1</v>
      </c>
      <c r="Z127" s="54">
        <v>1</v>
      </c>
      <c r="AA127" s="54">
        <v>1</v>
      </c>
      <c r="AB127" s="54">
        <v>1</v>
      </c>
      <c r="AC127" s="54">
        <v>1</v>
      </c>
      <c r="AD127" s="54">
        <v>1</v>
      </c>
      <c r="AE127" s="54">
        <v>1</v>
      </c>
      <c r="AF127" s="54">
        <v>1</v>
      </c>
      <c r="AG127" s="54">
        <v>1</v>
      </c>
      <c r="AH127" s="54">
        <v>1</v>
      </c>
      <c r="AI127" s="54">
        <v>1</v>
      </c>
      <c r="AJ127" s="54">
        <v>1</v>
      </c>
      <c r="AK127" s="54">
        <v>1</v>
      </c>
      <c r="AL127" s="54">
        <v>1</v>
      </c>
      <c r="AM127" s="54">
        <v>1</v>
      </c>
      <c r="AN127" s="54">
        <v>1</v>
      </c>
      <c r="AO127" s="54">
        <v>1</v>
      </c>
      <c r="AP127" s="54">
        <v>1</v>
      </c>
      <c r="AQ127" s="54">
        <v>1</v>
      </c>
      <c r="AR127" s="54">
        <v>1</v>
      </c>
      <c r="AS127" s="54">
        <v>1</v>
      </c>
    </row>
    <row r="128" spans="1:45" ht="43.35" customHeight="1" outlineLevel="1" x14ac:dyDescent="0.25">
      <c r="A128" s="5" t="s">
        <v>288</v>
      </c>
      <c r="B128" s="5" t="s">
        <v>144</v>
      </c>
      <c r="C128" s="226" t="s">
        <v>398</v>
      </c>
      <c r="D128" s="226"/>
      <c r="E128" s="226"/>
      <c r="F128" s="226"/>
      <c r="G128" s="226"/>
      <c r="H128" s="226"/>
      <c r="I128" s="226" t="s">
        <v>402</v>
      </c>
      <c r="J128" s="226"/>
      <c r="K128" s="226"/>
      <c r="L128" s="226"/>
      <c r="M128" s="226"/>
      <c r="N128" s="226"/>
      <c r="O128" s="54">
        <v>0.25</v>
      </c>
      <c r="P128" s="54">
        <v>1</v>
      </c>
      <c r="Q128" s="54">
        <v>1</v>
      </c>
      <c r="R128" s="54">
        <v>1</v>
      </c>
      <c r="S128" s="54">
        <v>1</v>
      </c>
      <c r="T128" s="54">
        <v>1</v>
      </c>
      <c r="U128" s="54">
        <v>1</v>
      </c>
      <c r="V128" s="54">
        <v>1</v>
      </c>
      <c r="W128" s="54">
        <v>1</v>
      </c>
      <c r="X128" s="54">
        <v>1</v>
      </c>
      <c r="Y128" s="54">
        <v>1</v>
      </c>
      <c r="Z128" s="54">
        <v>1</v>
      </c>
      <c r="AA128" s="54">
        <v>1</v>
      </c>
      <c r="AB128" s="54">
        <v>1</v>
      </c>
      <c r="AC128" s="54">
        <v>1</v>
      </c>
      <c r="AD128" s="54">
        <v>1</v>
      </c>
      <c r="AE128" s="54">
        <v>1</v>
      </c>
      <c r="AF128" s="54">
        <v>1</v>
      </c>
      <c r="AG128" s="54">
        <v>1</v>
      </c>
      <c r="AH128" s="54">
        <v>1</v>
      </c>
      <c r="AI128" s="54">
        <v>1</v>
      </c>
      <c r="AJ128" s="54">
        <v>1</v>
      </c>
      <c r="AK128" s="54">
        <v>1</v>
      </c>
      <c r="AL128" s="54">
        <v>1</v>
      </c>
      <c r="AM128" s="54">
        <v>1</v>
      </c>
      <c r="AN128" s="54">
        <v>1</v>
      </c>
      <c r="AO128" s="54">
        <v>1</v>
      </c>
      <c r="AP128" s="54">
        <v>1</v>
      </c>
      <c r="AQ128" s="54">
        <v>1</v>
      </c>
      <c r="AR128" s="54">
        <v>1</v>
      </c>
      <c r="AS128" s="54">
        <v>1</v>
      </c>
    </row>
  </sheetData>
  <mergeCells count="96">
    <mergeCell ref="I89:N89"/>
    <mergeCell ref="C87:H87"/>
    <mergeCell ref="I90:N90"/>
    <mergeCell ref="C88:H88"/>
    <mergeCell ref="C90:H90"/>
    <mergeCell ref="I87:N87"/>
    <mergeCell ref="A30:J30"/>
    <mergeCell ref="F29:J29"/>
    <mergeCell ref="C78:H78"/>
    <mergeCell ref="C91:H91"/>
    <mergeCell ref="I78:N78"/>
    <mergeCell ref="I91:N91"/>
    <mergeCell ref="F32:J32"/>
    <mergeCell ref="F31:J31"/>
    <mergeCell ref="F33:J33"/>
    <mergeCell ref="F35:J35"/>
    <mergeCell ref="F36:J36"/>
    <mergeCell ref="A34:J34"/>
    <mergeCell ref="I88:N88"/>
    <mergeCell ref="C76:H76"/>
    <mergeCell ref="I76:N76"/>
    <mergeCell ref="C89:H89"/>
    <mergeCell ref="A53:J53"/>
    <mergeCell ref="F54:J54"/>
    <mergeCell ref="F55:J55"/>
    <mergeCell ref="C79:H79"/>
    <mergeCell ref="I79:N79"/>
    <mergeCell ref="I74:N74"/>
    <mergeCell ref="I75:N75"/>
    <mergeCell ref="I77:N77"/>
    <mergeCell ref="C74:H74"/>
    <mergeCell ref="C75:H75"/>
    <mergeCell ref="C77:H77"/>
    <mergeCell ref="F48:J48"/>
    <mergeCell ref="A49:J49"/>
    <mergeCell ref="F50:J50"/>
    <mergeCell ref="F51:J51"/>
    <mergeCell ref="F52:J52"/>
    <mergeCell ref="C92:H92"/>
    <mergeCell ref="I92:N92"/>
    <mergeCell ref="C105:H105"/>
    <mergeCell ref="I105:N105"/>
    <mergeCell ref="C106:H106"/>
    <mergeCell ref="I106:N106"/>
    <mergeCell ref="C95:H95"/>
    <mergeCell ref="I95:N95"/>
    <mergeCell ref="C96:H96"/>
    <mergeCell ref="I96:N96"/>
    <mergeCell ref="I113:N113"/>
    <mergeCell ref="I114:N114"/>
    <mergeCell ref="C107:H107"/>
    <mergeCell ref="I107:N107"/>
    <mergeCell ref="C108:H108"/>
    <mergeCell ref="I108:N108"/>
    <mergeCell ref="C109:H109"/>
    <mergeCell ref="I109:N109"/>
    <mergeCell ref="C122:H122"/>
    <mergeCell ref="I122:N122"/>
    <mergeCell ref="C123:H123"/>
    <mergeCell ref="I123:N123"/>
    <mergeCell ref="C110:H110"/>
    <mergeCell ref="I110:N110"/>
    <mergeCell ref="C119:H119"/>
    <mergeCell ref="I119:N119"/>
    <mergeCell ref="C120:H120"/>
    <mergeCell ref="I120:N120"/>
    <mergeCell ref="C111:H111"/>
    <mergeCell ref="C112:H112"/>
    <mergeCell ref="C113:H113"/>
    <mergeCell ref="C114:H114"/>
    <mergeCell ref="I111:N111"/>
    <mergeCell ref="I112:N112"/>
    <mergeCell ref="C124:H124"/>
    <mergeCell ref="I124:N124"/>
    <mergeCell ref="C80:H80"/>
    <mergeCell ref="I80:N80"/>
    <mergeCell ref="C81:H81"/>
    <mergeCell ref="C82:H82"/>
    <mergeCell ref="C83:H83"/>
    <mergeCell ref="I81:N81"/>
    <mergeCell ref="I82:N82"/>
    <mergeCell ref="I83:N83"/>
    <mergeCell ref="C93:H93"/>
    <mergeCell ref="I93:N93"/>
    <mergeCell ref="C94:H94"/>
    <mergeCell ref="I94:N94"/>
    <mergeCell ref="C121:H121"/>
    <mergeCell ref="I121:N121"/>
    <mergeCell ref="C128:H128"/>
    <mergeCell ref="I128:N128"/>
    <mergeCell ref="C125:H125"/>
    <mergeCell ref="I125:N125"/>
    <mergeCell ref="C126:H126"/>
    <mergeCell ref="I126:N126"/>
    <mergeCell ref="C127:H127"/>
    <mergeCell ref="I127:N1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B3D8-9579-4FDD-802E-FD8E4B754531}">
  <dimension ref="A1:AB26"/>
  <sheetViews>
    <sheetView zoomScale="98" zoomScaleNormal="98" workbookViewId="0">
      <selection activeCell="L9" sqref="L9:P21"/>
    </sheetView>
  </sheetViews>
  <sheetFormatPr defaultColWidth="9.140625" defaultRowHeight="15" x14ac:dyDescent="0.25"/>
  <cols>
    <col min="1" max="2" width="1.85546875" style="2" customWidth="1"/>
    <col min="3" max="3" width="17.5703125" style="2" customWidth="1"/>
    <col min="4" max="4" width="10.85546875" style="2" customWidth="1"/>
    <col min="5" max="5" width="38.85546875" style="2" customWidth="1"/>
    <col min="6" max="7" width="1.85546875" style="2" customWidth="1"/>
    <col min="8" max="8" width="17.5703125" style="2" customWidth="1"/>
    <col min="9" max="9" width="10.85546875" style="2" customWidth="1"/>
    <col min="10" max="10" width="38.85546875" style="2" customWidth="1"/>
    <col min="11" max="12" width="1.85546875" style="2" customWidth="1"/>
    <col min="13" max="13" width="17.5703125" style="2" customWidth="1"/>
    <col min="14" max="14" width="10.85546875" style="2" customWidth="1"/>
    <col min="15" max="15" width="38.85546875" style="2" customWidth="1"/>
    <col min="16" max="17" width="1.85546875" style="2" customWidth="1"/>
    <col min="18" max="18" width="21.140625" style="2" customWidth="1"/>
    <col min="19" max="19" width="6.140625" style="2" customWidth="1"/>
    <col min="20" max="20" width="9.140625" style="2" bestFit="1" customWidth="1"/>
    <col min="21" max="28" width="9.140625" style="2"/>
    <col min="29" max="29" width="1.85546875" style="2" customWidth="1"/>
    <col min="30" max="16384" width="9.140625" style="2"/>
  </cols>
  <sheetData>
    <row r="1" spans="1:28" s="1" customFormat="1" ht="20.25" thickBot="1" x14ac:dyDescent="0.35">
      <c r="A1" s="1" t="s">
        <v>511</v>
      </c>
    </row>
    <row r="2" spans="1:28" ht="15.75" thickTop="1" x14ac:dyDescent="0.25"/>
    <row r="3" spans="1:28" x14ac:dyDescent="0.25">
      <c r="C3" s="261" t="s">
        <v>512</v>
      </c>
      <c r="D3" s="262"/>
      <c r="E3" s="262"/>
      <c r="F3" s="262"/>
      <c r="G3" s="262"/>
      <c r="H3" s="262"/>
      <c r="I3" s="262"/>
      <c r="J3" s="262"/>
      <c r="K3" s="262"/>
      <c r="L3" s="262"/>
      <c r="M3" s="262"/>
      <c r="N3" s="262"/>
      <c r="O3" s="263"/>
      <c r="P3" s="7"/>
      <c r="R3" s="261" t="s">
        <v>514</v>
      </c>
      <c r="S3" s="262"/>
      <c r="T3" s="262"/>
      <c r="U3" s="262"/>
      <c r="V3" s="262"/>
      <c r="W3" s="262"/>
      <c r="X3" s="262"/>
      <c r="Y3" s="262"/>
      <c r="Z3" s="262"/>
      <c r="AA3" s="262"/>
      <c r="AB3" s="263"/>
    </row>
    <row r="5" spans="1:28" ht="15.75" thickBot="1" x14ac:dyDescent="0.3">
      <c r="B5" s="7" t="s">
        <v>417</v>
      </c>
      <c r="G5" s="7" t="s">
        <v>418</v>
      </c>
      <c r="L5" s="7" t="s">
        <v>419</v>
      </c>
      <c r="R5" s="7" t="s">
        <v>420</v>
      </c>
    </row>
    <row r="6" spans="1:28" ht="21.75" thickBot="1" x14ac:dyDescent="0.4">
      <c r="C6" s="205"/>
      <c r="D6" s="210" t="s">
        <v>513</v>
      </c>
      <c r="E6" s="209" t="s">
        <v>519</v>
      </c>
      <c r="H6" s="205"/>
      <c r="I6" s="208" t="s">
        <v>513</v>
      </c>
      <c r="J6" s="207" t="s">
        <v>188</v>
      </c>
      <c r="L6" s="206"/>
      <c r="M6" s="210"/>
      <c r="N6" s="208" t="s">
        <v>513</v>
      </c>
      <c r="O6" s="207" t="s">
        <v>379</v>
      </c>
    </row>
    <row r="10" spans="1:28" x14ac:dyDescent="0.25">
      <c r="C10" s="264" t="s">
        <v>421</v>
      </c>
      <c r="D10" s="265"/>
      <c r="E10" s="266"/>
      <c r="H10" s="264" t="s">
        <v>421</v>
      </c>
      <c r="I10" s="265"/>
      <c r="J10" s="266"/>
      <c r="M10" s="264" t="s">
        <v>421</v>
      </c>
      <c r="N10" s="265"/>
      <c r="O10" s="266"/>
    </row>
    <row r="11" spans="1:28" x14ac:dyDescent="0.25">
      <c r="R11" s="133" t="s">
        <v>139</v>
      </c>
      <c r="S11" s="133"/>
      <c r="T11" s="133">
        <v>0</v>
      </c>
      <c r="U11" s="6">
        <v>1</v>
      </c>
      <c r="V11" s="6">
        <v>2</v>
      </c>
      <c r="W11" s="133">
        <v>3</v>
      </c>
      <c r="X11" s="133">
        <v>4</v>
      </c>
      <c r="Y11" s="133">
        <v>5</v>
      </c>
      <c r="Z11" s="133">
        <v>6</v>
      </c>
      <c r="AA11" s="133">
        <v>7</v>
      </c>
      <c r="AB11" s="134" t="s">
        <v>422</v>
      </c>
    </row>
    <row r="12" spans="1:28" x14ac:dyDescent="0.25">
      <c r="C12" s="83" t="s">
        <v>423</v>
      </c>
      <c r="D12" s="84">
        <f>_xlfn.XLOOKUP(E$6,'1. small connection'!$D$34:$J$34,'1. small connection'!$D38:$J38)</f>
        <v>31476</v>
      </c>
      <c r="E12" s="85" t="s">
        <v>424</v>
      </c>
      <c r="H12" s="83" t="s">
        <v>423</v>
      </c>
      <c r="I12" s="84">
        <f>_xlfn.XLOOKUP(J$6,'2. remote mid-sized connection'!$D$28:$E$28,'2. remote mid-sized connection'!$D32:$E32)</f>
        <v>25580</v>
      </c>
      <c r="J12" s="85" t="s">
        <v>424</v>
      </c>
      <c r="M12" s="83" t="s">
        <v>423</v>
      </c>
      <c r="N12" s="84">
        <f>_xlfn.XLOOKUP(O$6,'3. large connection'!$D$30:$G$30,'3. large connection'!$D34:$G34)</f>
        <v>2164000</v>
      </c>
      <c r="O12" s="85" t="s">
        <v>424</v>
      </c>
      <c r="R12" s="133" t="s">
        <v>140</v>
      </c>
      <c r="S12" s="133" t="s">
        <v>141</v>
      </c>
      <c r="T12" s="133">
        <f>'3b. ITC calcs'!L6</f>
        <v>2026</v>
      </c>
      <c r="U12" s="133">
        <f>'3b. ITC calcs'!M6</f>
        <v>2027</v>
      </c>
      <c r="V12" s="133">
        <f>'3b. ITC calcs'!N6</f>
        <v>2028</v>
      </c>
      <c r="W12" s="133">
        <f>'3b. ITC calcs'!O6</f>
        <v>2029</v>
      </c>
      <c r="X12" s="133">
        <f>'3b. ITC calcs'!P6</f>
        <v>2030</v>
      </c>
      <c r="Y12" s="133">
        <f>'3b. ITC calcs'!Q6</f>
        <v>2031</v>
      </c>
      <c r="Z12" s="133">
        <f>'3b. ITC calcs'!R6</f>
        <v>2032</v>
      </c>
      <c r="AA12" s="133">
        <f>'3b. ITC calcs'!S6</f>
        <v>2033</v>
      </c>
      <c r="AB12" s="134" t="s">
        <v>422</v>
      </c>
    </row>
    <row r="13" spans="1:28" x14ac:dyDescent="0.25">
      <c r="C13" s="86" t="s">
        <v>425</v>
      </c>
      <c r="D13" s="82">
        <f>_xlfn.XLOOKUP(E$6,'1. small connection'!$D$34:$J$34,'1. small connection'!$D35:$J35)</f>
        <v>37065</v>
      </c>
      <c r="E13" s="87" t="s">
        <v>426</v>
      </c>
      <c r="H13" s="86" t="s">
        <v>425</v>
      </c>
      <c r="I13" s="82">
        <f>_xlfn.XLOOKUP(J$6,'2. remote mid-sized connection'!$D$28:$E$28,'2. remote mid-sized connection'!$D29:$E29)</f>
        <v>58310</v>
      </c>
      <c r="J13" s="87" t="s">
        <v>426</v>
      </c>
      <c r="M13" s="86" t="s">
        <v>425</v>
      </c>
      <c r="N13" s="82">
        <f>_xlfn.XLOOKUP(O$6,'3. large connection'!$D$30:$G$30,'3. large connection'!$D31:$G31)</f>
        <v>2275120.8316294411</v>
      </c>
      <c r="O13" s="87" t="s">
        <v>426</v>
      </c>
      <c r="R13" s="135" t="s">
        <v>143</v>
      </c>
      <c r="S13" s="135" t="s">
        <v>144</v>
      </c>
      <c r="T13" s="62">
        <f>'3b. ITC calcs'!L7</f>
        <v>1</v>
      </c>
      <c r="U13" s="62">
        <f>'3b. ITC calcs'!M7</f>
        <v>0.95574882920768423</v>
      </c>
      <c r="V13" s="62">
        <f>'3b. ITC calcs'!N7</f>
        <v>0.91345582453185914</v>
      </c>
      <c r="W13" s="62">
        <f>'3b. ITC calcs'!O7</f>
        <v>0.87303433482926418</v>
      </c>
      <c r="X13" s="62">
        <f>'3b. ITC calcs'!P7</f>
        <v>0.83440154337117856</v>
      </c>
      <c r="Y13" s="62">
        <f>'3b. ITC calcs'!Q7</f>
        <v>0.79747829816608862</v>
      </c>
      <c r="Z13" s="62">
        <f>'3b. ITC calcs'!R7</f>
        <v>0.76218894979077567</v>
      </c>
      <c r="AA13" s="62">
        <f>'3b. ITC calcs'!S7</f>
        <v>0.72846119639756823</v>
      </c>
      <c r="AB13" s="136" t="s">
        <v>422</v>
      </c>
    </row>
    <row r="14" spans="1:28" x14ac:dyDescent="0.25">
      <c r="C14" s="86" t="s">
        <v>427</v>
      </c>
      <c r="D14" s="82">
        <f>_xlfn.XLOOKUP(E$6,'1. small connection'!$D$34:$J$34,'1. small connection'!$D36:$J36)</f>
        <v>8598.3631373574644</v>
      </c>
      <c r="E14" s="87" t="s">
        <v>428</v>
      </c>
      <c r="H14" s="86" t="s">
        <v>427</v>
      </c>
      <c r="I14" s="82">
        <f>_xlfn.XLOOKUP(J$6,'2. remote mid-sized connection'!$D$28:$E$28,'2. remote mid-sized connection'!$D30:$E30)</f>
        <v>218194.25136865728</v>
      </c>
      <c r="J14" s="87" t="s">
        <v>428</v>
      </c>
      <c r="M14" s="86" t="s">
        <v>427</v>
      </c>
      <c r="N14" s="82">
        <f>_xlfn.XLOOKUP(O$6,'3. large connection'!$D$30:$G$30,'3. large connection'!$D32:$G32)</f>
        <v>2981334.6620994695</v>
      </c>
      <c r="O14" s="87" t="s">
        <v>428</v>
      </c>
      <c r="R14" s="135" t="s">
        <v>429</v>
      </c>
      <c r="S14" s="135" t="s">
        <v>144</v>
      </c>
      <c r="T14" s="137">
        <f>'3b. ITC calcs'!L8</f>
        <v>1</v>
      </c>
      <c r="U14" s="137">
        <f>'3b. ITC calcs'!M8</f>
        <v>1.1499999999999999</v>
      </c>
      <c r="V14" s="137">
        <f>'3b. ITC calcs'!N8</f>
        <v>1.1599999999999999</v>
      </c>
      <c r="W14" s="137">
        <f>'3b. ITC calcs'!O8</f>
        <v>1.19</v>
      </c>
      <c r="X14" s="137">
        <f>'3b. ITC calcs'!P8</f>
        <v>1.21</v>
      </c>
      <c r="Y14" s="137">
        <f>'3b. ITC calcs'!Q8</f>
        <v>1.24</v>
      </c>
      <c r="Z14" s="137">
        <f>'3b. ITC calcs'!R8</f>
        <v>1.2</v>
      </c>
      <c r="AA14" s="137">
        <f>'3b. ITC calcs'!S8</f>
        <v>1.2</v>
      </c>
      <c r="AB14" s="136" t="s">
        <v>422</v>
      </c>
    </row>
    <row r="15" spans="1:28" x14ac:dyDescent="0.25">
      <c r="C15" s="86" t="s">
        <v>430</v>
      </c>
      <c r="D15" s="82">
        <f>D13-D14</f>
        <v>28466.636862642536</v>
      </c>
      <c r="E15" s="87" t="s">
        <v>431</v>
      </c>
      <c r="H15" s="86" t="s">
        <v>430</v>
      </c>
      <c r="I15" s="82">
        <f>I13-I14</f>
        <v>-159884.25136865728</v>
      </c>
      <c r="J15" s="87" t="s">
        <v>431</v>
      </c>
      <c r="M15" s="86" t="s">
        <v>430</v>
      </c>
      <c r="N15" s="82">
        <f>N13-N14</f>
        <v>-706213.83047002833</v>
      </c>
      <c r="O15" s="87" t="s">
        <v>431</v>
      </c>
      <c r="R15" s="132"/>
      <c r="S15" s="132"/>
      <c r="T15" s="132"/>
      <c r="U15" s="132"/>
      <c r="V15" s="132"/>
      <c r="W15" s="132"/>
      <c r="X15" s="132"/>
      <c r="Y15" s="132"/>
      <c r="Z15" s="132"/>
      <c r="AA15" s="132"/>
    </row>
    <row r="16" spans="1:28" x14ac:dyDescent="0.25">
      <c r="C16" s="88" t="s">
        <v>432</v>
      </c>
      <c r="D16" s="89">
        <f>D12-D15</f>
        <v>3009.3631373574644</v>
      </c>
      <c r="E16" s="90" t="s">
        <v>433</v>
      </c>
      <c r="H16" s="88" t="s">
        <v>432</v>
      </c>
      <c r="I16" s="89">
        <f>I12-I15</f>
        <v>185464.25136865728</v>
      </c>
      <c r="J16" s="90" t="s">
        <v>433</v>
      </c>
      <c r="M16" s="88" t="s">
        <v>432</v>
      </c>
      <c r="N16" s="89">
        <f>N12-N15</f>
        <v>2870213.8304700283</v>
      </c>
      <c r="O16" s="90" t="s">
        <v>433</v>
      </c>
      <c r="R16" s="135" t="s">
        <v>434</v>
      </c>
      <c r="S16" s="135" t="s">
        <v>35</v>
      </c>
      <c r="T16" s="138"/>
      <c r="U16" s="138">
        <f>'3b. ITC calcs'!M9</f>
        <v>250000</v>
      </c>
      <c r="V16" s="138"/>
      <c r="W16" s="138"/>
      <c r="X16" s="138"/>
      <c r="Y16" s="138"/>
      <c r="Z16" s="138"/>
      <c r="AA16" s="138"/>
      <c r="AB16" s="136" t="s">
        <v>422</v>
      </c>
    </row>
    <row r="17" spans="3:28" x14ac:dyDescent="0.25">
      <c r="C17" s="60"/>
      <c r="E17" s="81"/>
      <c r="H17" s="60"/>
      <c r="J17" s="81"/>
      <c r="M17" s="60"/>
      <c r="O17" s="81"/>
      <c r="R17" s="135" t="s">
        <v>308</v>
      </c>
      <c r="S17" s="135" t="s">
        <v>35</v>
      </c>
      <c r="T17" s="138"/>
      <c r="U17" s="138">
        <f>'3b. ITC calcs'!M10</f>
        <v>10000</v>
      </c>
      <c r="V17" s="138">
        <f>'3b. ITC calcs'!N10</f>
        <v>10086.956521739132</v>
      </c>
      <c r="W17" s="138">
        <f>'3b. ITC calcs'!O10</f>
        <v>10347.826086956524</v>
      </c>
      <c r="X17" s="138">
        <f>'3b. ITC calcs'!P10</f>
        <v>10521.739130434786</v>
      </c>
      <c r="Y17" s="138">
        <f>'3b. ITC calcs'!Q10</f>
        <v>10782.608695652178</v>
      </c>
      <c r="Z17" s="138">
        <f>'3b. ITC calcs'!R10</f>
        <v>10434.782608695656</v>
      </c>
      <c r="AA17" s="138">
        <f>'3b. ITC calcs'!S10</f>
        <v>10434.782608695656</v>
      </c>
      <c r="AB17" s="136" t="s">
        <v>422</v>
      </c>
    </row>
    <row r="18" spans="3:28" x14ac:dyDescent="0.25">
      <c r="C18" s="83" t="s">
        <v>435</v>
      </c>
      <c r="D18" s="92">
        <f>D12/D13</f>
        <v>0.84921084581141237</v>
      </c>
      <c r="E18" s="85" t="s">
        <v>436</v>
      </c>
      <c r="H18" s="83" t="s">
        <v>435</v>
      </c>
      <c r="I18" s="92">
        <f>I12/I13</f>
        <v>0.4386897616189333</v>
      </c>
      <c r="J18" s="85" t="s">
        <v>436</v>
      </c>
      <c r="M18" s="83" t="s">
        <v>435</v>
      </c>
      <c r="N18" s="92">
        <f>N12/N13</f>
        <v>0.95115827252574692</v>
      </c>
      <c r="O18" s="85" t="s">
        <v>436</v>
      </c>
      <c r="R18" s="135" t="s">
        <v>437</v>
      </c>
      <c r="S18" s="135" t="s">
        <v>35</v>
      </c>
      <c r="T18" s="138"/>
      <c r="U18" s="138">
        <f>'3b. ITC calcs'!M11</f>
        <v>80000</v>
      </c>
      <c r="V18" s="138">
        <f>'3b. ITC calcs'!N11</f>
        <v>80000</v>
      </c>
      <c r="W18" s="138">
        <f>'3b. ITC calcs'!O11</f>
        <v>80000</v>
      </c>
      <c r="X18" s="138">
        <f>'3b. ITC calcs'!P11</f>
        <v>80000</v>
      </c>
      <c r="Y18" s="138">
        <f>'3b. ITC calcs'!Q11</f>
        <v>80000</v>
      </c>
      <c r="Z18" s="138">
        <f>'3b. ITC calcs'!R11</f>
        <v>80000</v>
      </c>
      <c r="AA18" s="138">
        <f>'3b. ITC calcs'!S11</f>
        <v>80000</v>
      </c>
      <c r="AB18" s="136" t="s">
        <v>422</v>
      </c>
    </row>
    <row r="19" spans="3:28" x14ac:dyDescent="0.25">
      <c r="C19" s="86" t="s">
        <v>438</v>
      </c>
      <c r="D19" s="91">
        <f>D12/(D12+D14)</f>
        <v>0.78543980579588957</v>
      </c>
      <c r="E19" s="87" t="s">
        <v>439</v>
      </c>
      <c r="H19" s="86" t="s">
        <v>438</v>
      </c>
      <c r="I19" s="91">
        <f>I12/(I12+I14)</f>
        <v>0.10493314965129615</v>
      </c>
      <c r="J19" s="87" t="s">
        <v>439</v>
      </c>
      <c r="M19" s="86" t="s">
        <v>438</v>
      </c>
      <c r="N19" s="91">
        <f>N12/(N12+N14)</f>
        <v>0.42057516995736394</v>
      </c>
      <c r="O19" s="87" t="s">
        <v>439</v>
      </c>
      <c r="R19" s="135" t="s">
        <v>440</v>
      </c>
      <c r="S19" s="135" t="s">
        <v>35</v>
      </c>
      <c r="T19" s="138"/>
      <c r="U19" s="138"/>
      <c r="V19" s="138"/>
      <c r="W19" s="138"/>
      <c r="X19" s="138"/>
      <c r="Y19" s="138">
        <f>'3b. ITC calcs'!Q12</f>
        <v>100000</v>
      </c>
      <c r="Z19" s="138">
        <f>'3b. ITC calcs'!R12</f>
        <v>100000</v>
      </c>
      <c r="AA19" s="138">
        <f>'3b. ITC calcs'!S12</f>
        <v>100000</v>
      </c>
      <c r="AB19" s="136" t="s">
        <v>422</v>
      </c>
    </row>
    <row r="20" spans="3:28" x14ac:dyDescent="0.25">
      <c r="C20" s="88" t="s">
        <v>441</v>
      </c>
      <c r="D20" s="93">
        <f>D16/(D12+D14)</f>
        <v>7.5094471920681027E-2</v>
      </c>
      <c r="E20" s="90" t="s">
        <v>442</v>
      </c>
      <c r="H20" s="88" t="s">
        <v>441</v>
      </c>
      <c r="I20" s="93">
        <f>I16/(I12+I14)</f>
        <v>0.76080328552904308</v>
      </c>
      <c r="J20" s="90" t="s">
        <v>442</v>
      </c>
      <c r="M20" s="88" t="s">
        <v>441</v>
      </c>
      <c r="N20" s="93">
        <f>N16/(N12+N14)</f>
        <v>0.55782840552860846</v>
      </c>
      <c r="O20" s="90" t="s">
        <v>442</v>
      </c>
      <c r="R20" s="132"/>
      <c r="S20" s="132"/>
      <c r="T20" s="132"/>
      <c r="U20" s="132"/>
      <c r="V20" s="132"/>
      <c r="W20" s="132"/>
      <c r="X20" s="132"/>
      <c r="Y20" s="132"/>
      <c r="Z20" s="132"/>
      <c r="AA20" s="132"/>
    </row>
    <row r="21" spans="3:28" x14ac:dyDescent="0.25">
      <c r="R21" s="135" t="s">
        <v>443</v>
      </c>
      <c r="S21" s="135" t="s">
        <v>35</v>
      </c>
      <c r="T21" s="138"/>
      <c r="U21" s="138">
        <f>'3b. ITC calcs'!M13</f>
        <v>324954.60193061264</v>
      </c>
      <c r="V21" s="138">
        <f>'3b. ITC calcs'!N13</f>
        <v>82290.455149130968</v>
      </c>
      <c r="W21" s="138">
        <f>'3b. ITC calcs'!O13</f>
        <v>78876.754251096136</v>
      </c>
      <c r="X21" s="138">
        <f>'3b. ITC calcs'!P13</f>
        <v>75531.478839077987</v>
      </c>
      <c r="Y21" s="138">
        <f>'3b. ITC calcs'!Q13</f>
        <v>152144.9901022955</v>
      </c>
      <c r="Z21" s="138">
        <f>'3b. ITC calcs'!R13</f>
        <v>145147.2869601564</v>
      </c>
      <c r="AA21" s="138">
        <f>'3b. ITC calcs'!S13</f>
        <v>138724.34957484124</v>
      </c>
      <c r="AB21" s="136" t="s">
        <v>422</v>
      </c>
    </row>
    <row r="22" spans="3:28" x14ac:dyDescent="0.25">
      <c r="R22" s="132"/>
      <c r="S22" s="132"/>
      <c r="T22" s="132"/>
    </row>
    <row r="23" spans="3:28" x14ac:dyDescent="0.25">
      <c r="L23" s="7"/>
      <c r="R23" s="133" t="s">
        <v>444</v>
      </c>
      <c r="S23" s="133" t="s">
        <v>35</v>
      </c>
      <c r="T23" s="139">
        <v>1907839.6685208606</v>
      </c>
    </row>
    <row r="25" spans="3:28" x14ac:dyDescent="0.25">
      <c r="R25" s="2" t="s">
        <v>445</v>
      </c>
    </row>
    <row r="26" spans="3:28" x14ac:dyDescent="0.25">
      <c r="R26" s="132" t="s">
        <v>446</v>
      </c>
    </row>
  </sheetData>
  <mergeCells count="5">
    <mergeCell ref="C3:O3"/>
    <mergeCell ref="R3:AB3"/>
    <mergeCell ref="C10:E10"/>
    <mergeCell ref="H10:J10"/>
    <mergeCell ref="M10:O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45F4873-6D58-4C26-8A7D-82D9052E46C1}">
          <x14:formula1>
            <xm:f>'1. small connection'!$D$34:$J$34</xm:f>
          </x14:formula1>
          <xm:sqref>E6</xm:sqref>
        </x14:dataValidation>
        <x14:dataValidation type="list" allowBlank="1" showInputMessage="1" showErrorMessage="1" xr:uid="{6333790D-47AD-46CE-8A6E-2DCFFDEA2B38}">
          <x14:formula1>
            <xm:f>'3. large connection'!$D$30:$G$30</xm:f>
          </x14:formula1>
          <xm:sqref>O6</xm:sqref>
        </x14:dataValidation>
        <x14:dataValidation type="list" allowBlank="1" showInputMessage="1" showErrorMessage="1" xr:uid="{73271493-6383-431C-94CC-8B1E11AF5EFE}">
          <x14:formula1>
            <xm:f>'2. remote mid-sized connection'!$D$28:$E$28</xm:f>
          </x14:formula1>
          <xm:sqref>J6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07A53BDE12C24189BBEAA073CE2D9B" ma:contentTypeVersion="10" ma:contentTypeDescription="Create a new document." ma:contentTypeScope="" ma:versionID="33948a29e25278858c83622c095b5cee">
  <xsd:schema xmlns:xsd="http://www.w3.org/2001/XMLSchema" xmlns:xs="http://www.w3.org/2001/XMLSchema" xmlns:p="http://schemas.microsoft.com/office/2006/metadata/properties" xmlns:ns2="33b268dd-a129-4df5-9b7e-0edc38ae9f1c" xmlns:ns3="57783d8d-39ca-4f41-9e05-2d5d05d583c0" targetNamespace="http://schemas.microsoft.com/office/2006/metadata/properties" ma:root="true" ma:fieldsID="1016c791542c6906989eaf9359e47b75" ns2:_="" ns3:_="">
    <xsd:import namespace="33b268dd-a129-4df5-9b7e-0edc38ae9f1c"/>
    <xsd:import namespace="57783d8d-39ca-4f41-9e05-2d5d05d583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b268dd-a129-4df5-9b7e-0edc38ae9f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7783d8d-39ca-4f41-9e05-2d5d05d583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F09441-4F6E-4A1B-A16C-FBC216923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b268dd-a129-4df5-9b7e-0edc38ae9f1c"/>
    <ds:schemaRef ds:uri="57783d8d-39ca-4f41-9e05-2d5d05d5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59533-3CB1-451F-AF39-3F3208BA472C}">
  <ds:schemaRefs>
    <ds:schemaRef ds:uri="33b268dd-a129-4df5-9b7e-0edc38ae9f1c"/>
    <ds:schemaRef ds:uri="http://schemas.microsoft.com/office/2006/documentManagement/types"/>
    <ds:schemaRef ds:uri="http://purl.org/dc/elements/1.1/"/>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57783d8d-39ca-4f41-9e05-2d5d05d583c0"/>
  </ds:schemaRefs>
</ds:datastoreItem>
</file>

<file path=customXml/itemProps3.xml><?xml version="1.0" encoding="utf-8"?>
<ds:datastoreItem xmlns:ds="http://schemas.openxmlformats.org/officeDocument/2006/customXml" ds:itemID="{3D3BEF27-8812-47BD-9899-0909E4785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Summary of worked examples</vt:lpstr>
      <vt:lpstr>1. small connection</vt:lpstr>
      <vt:lpstr>2. remote mid-sized connection</vt:lpstr>
      <vt:lpstr>3. large connection</vt:lpstr>
      <vt:lpstr>3b. ITC calcs</vt:lpstr>
      <vt:lpstr>Distributor assumptions</vt:lpstr>
      <vt:lpstr>Network costing zones</vt:lpstr>
      <vt:lpstr>Cons group &amp; variant assumption</vt:lpstr>
      <vt:lpstr>Charge reconciliation summary</vt:lpstr>
      <vt:lpstr>List</vt:lpstr>
      <vt:lpstr>Discount_rate</vt:lpstr>
      <vt:lpstr>Sc1_variant</vt:lpstr>
      <vt:lpstr>Sc2_variant</vt:lpstr>
      <vt:lpstr>Sc3_variant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Steinebach</dc:creator>
  <cp:keywords/>
  <dc:description/>
  <cp:lastModifiedBy>Jolene Williams</cp:lastModifiedBy>
  <cp:revision/>
  <dcterms:created xsi:type="dcterms:W3CDTF">2025-01-30T21:35:13Z</dcterms:created>
  <dcterms:modified xsi:type="dcterms:W3CDTF">2025-08-15T03:26:29Z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0x010100DD07A53BDE12C24189BBEAA073CE2D9B</vt:lpwstr>
  </property>
  <property fmtid="{D5CDD505-2E9C-101B-9397-08002B2CF9AE}" pid="3" name="MSIP_Label_729a19d4-3005-49f1-9d8c-8924f528f29b_Enabled">
    <vt:lpwstr>true</vt:lpwstr>
  </property>
  <property fmtid="{D5CDD505-2E9C-101B-9397-08002B2CF9AE}" pid="4" name="MSIP_Label_729a19d4-3005-49f1-9d8c-8924f528f29b_SetDate">
    <vt:lpwstr>2025-02-03T20:11:23Z</vt:lpwstr>
  </property>
  <property fmtid="{D5CDD505-2E9C-101B-9397-08002B2CF9AE}" pid="5" name="MSIP_Label_729a19d4-3005-49f1-9d8c-8924f528f29b_Method">
    <vt:lpwstr>Standard</vt:lpwstr>
  </property>
  <property fmtid="{D5CDD505-2E9C-101B-9397-08002B2CF9AE}" pid="6" name="MSIP_Label_729a19d4-3005-49f1-9d8c-8924f528f29b_Name">
    <vt:lpwstr>Organisation</vt:lpwstr>
  </property>
  <property fmtid="{D5CDD505-2E9C-101B-9397-08002B2CF9AE}" pid="7" name="MSIP_Label_729a19d4-3005-49f1-9d8c-8924f528f29b_SiteId">
    <vt:lpwstr>01ce6efc-7935-414f-b831-2b1d356f92e4</vt:lpwstr>
  </property>
  <property fmtid="{D5CDD505-2E9C-101B-9397-08002B2CF9AE}" pid="8" name="MSIP_Label_729a19d4-3005-49f1-9d8c-8924f528f29b_ActionId">
    <vt:lpwstr>3aa94e33-d8c5-4463-8f8e-996f7ad9c810</vt:lpwstr>
  </property>
  <property fmtid="{D5CDD505-2E9C-101B-9397-08002B2CF9AE}" pid="9" name="MSIP_Label_729a19d4-3005-49f1-9d8c-8924f528f29b_ContentBits">
    <vt:lpwstr>2</vt:lpwstr>
  </property>
  <property fmtid="{D5CDD505-2E9C-101B-9397-08002B2CF9AE}" pid="10" name="MSIP_Label_729a19d4-3005-49f1-9d8c-8924f528f29b_Tag">
    <vt:lpwstr>10, 3, 0, 2</vt:lpwstr>
  </property>
  <property fmtid="{D5CDD505-2E9C-101B-9397-08002B2CF9AE}" pid="11" name="MediaServiceImageTags">
    <vt:lpwstr/>
  </property>
</Properties>
</file>