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fileSharing readOnlyRecommended="1"/>
  <workbookPr/>
  <mc:AlternateContent xmlns:mc="http://schemas.openxmlformats.org/markup-compatibility/2006">
    <mc:Choice Requires="x15">
      <x15ac:absPath xmlns:x15ac="http://schemas.microsoft.com/office/spreadsheetml/2010/11/ac" url="https://electricityauthority-my.sharepoint.com/personal/jolene_williams_ea_govt_nz/Documents/Desktop/Connections - post-decision/"/>
    </mc:Choice>
  </mc:AlternateContent>
  <xr:revisionPtr revIDLastSave="0" documentId="8_{025F6BB7-1090-44A5-8C7A-98F1AB9E6623}" xr6:coauthVersionLast="47" xr6:coauthVersionMax="47" xr10:uidLastSave="{00000000-0000-0000-0000-000000000000}"/>
  <bookViews>
    <workbookView xWindow="4290" yWindow="1800" windowWidth="21600" windowHeight="11055" tabRatio="768" firstSheet="1" activeTab="2" xr2:uid="{C2E238CA-F534-4326-866B-3D8F6E75467E}"/>
    <workbookView visibility="hidden" xWindow="4635" yWindow="2145" windowWidth="21600" windowHeight="11055" firstSheet="3" activeTab="3" xr2:uid="{764EDEB8-27B3-493E-B64C-2A55B7290753}"/>
  </bookViews>
  <sheets>
    <sheet name="Summary of worked examples" sheetId="10" r:id="rId1"/>
    <sheet name="1. small connection" sheetId="6" r:id="rId2"/>
    <sheet name="2. remote mid-sized connection" sheetId="17" r:id="rId3"/>
    <sheet name="3. large connection" sheetId="18" r:id="rId4"/>
    <sheet name="1f. Pioneer scheme" sheetId="15" r:id="rId5"/>
    <sheet name="1g. Local hist cost recovery" sheetId="16" r:id="rId6"/>
    <sheet name="3b. ITC calcs" sheetId="19" r:id="rId7"/>
    <sheet name="Network costing zones" sheetId="7" r:id="rId8"/>
    <sheet name="List" sheetId="14" r:id="rId9"/>
  </sheets>
  <externalReferences>
    <externalReference r:id="rId10"/>
  </externalReferences>
  <definedNames>
    <definedName name="Sc1_variant" localSheetId="6">'[1]1. small connection'!$C$25</definedName>
    <definedName name="Sc1_variant">'1. small connection'!$D$25</definedName>
    <definedName name="Sc2_variant" localSheetId="6">'[1]2. remote mid-sized connection'!$C$20</definedName>
    <definedName name="Sc2_variant">'2. remote mid-sized connection'!$D$20</definedName>
    <definedName name="Sc3_variant" localSheetId="3">'3. large connection'!$D$22</definedName>
    <definedName name="Sc3_variant">'[1]3. large connection'!$C$22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12" i="6" l="1"/>
  <c r="F111" i="6"/>
  <c r="F110" i="6"/>
  <c r="E109" i="6"/>
  <c r="F109" i="6" s="1"/>
  <c r="E110" i="6"/>
  <c r="E111" i="6"/>
  <c r="E112" i="6"/>
  <c r="E108" i="6"/>
  <c r="F108" i="6" s="1"/>
  <c r="N12" i="19" l="1"/>
  <c r="O12" i="19"/>
  <c r="P12" i="19"/>
  <c r="Q12" i="19"/>
  <c r="R12" i="19"/>
  <c r="S12" i="19"/>
  <c r="T12" i="19"/>
  <c r="U12" i="19"/>
  <c r="V12" i="19"/>
  <c r="W12" i="19"/>
  <c r="X12" i="19"/>
  <c r="Y12" i="19"/>
  <c r="Z12" i="19"/>
  <c r="AA12" i="19"/>
  <c r="M12" i="19"/>
  <c r="D26" i="19"/>
  <c r="E188" i="18" s="1"/>
  <c r="D8" i="19"/>
  <c r="G198" i="18"/>
  <c r="F198" i="18"/>
  <c r="E198" i="18"/>
  <c r="D198" i="18"/>
  <c r="D46" i="18" s="1"/>
  <c r="G186" i="18"/>
  <c r="F186" i="18"/>
  <c r="E186" i="18"/>
  <c r="D186" i="18"/>
  <c r="L31" i="19"/>
  <c r="L18" i="19"/>
  <c r="R17" i="19"/>
  <c r="S17" i="19" s="1"/>
  <c r="T17" i="19" s="1"/>
  <c r="U17" i="19" s="1"/>
  <c r="V17" i="19" s="1"/>
  <c r="W17" i="19" s="1"/>
  <c r="X17" i="19" s="1"/>
  <c r="Y17" i="19" s="1"/>
  <c r="Z17" i="19" s="1"/>
  <c r="AA17" i="19" s="1"/>
  <c r="N16" i="19"/>
  <c r="O16" i="19" s="1"/>
  <c r="P16" i="19" s="1"/>
  <c r="Q16" i="19" s="1"/>
  <c r="R16" i="19" s="1"/>
  <c r="S16" i="19" s="1"/>
  <c r="T16" i="19" s="1"/>
  <c r="U16" i="19" s="1"/>
  <c r="V16" i="19" s="1"/>
  <c r="W16" i="19" s="1"/>
  <c r="X16" i="19" s="1"/>
  <c r="Y16" i="19" s="1"/>
  <c r="Z16" i="19" s="1"/>
  <c r="AA16" i="19" s="1"/>
  <c r="M11" i="19"/>
  <c r="N11" i="19" s="1"/>
  <c r="O11" i="19" s="1"/>
  <c r="P11" i="19" s="1"/>
  <c r="Q11" i="19" s="1"/>
  <c r="R11" i="19" s="1"/>
  <c r="S11" i="19" s="1"/>
  <c r="T11" i="19" s="1"/>
  <c r="U11" i="19" s="1"/>
  <c r="V11" i="19" s="1"/>
  <c r="W11" i="19" s="1"/>
  <c r="X11" i="19" s="1"/>
  <c r="Y11" i="19" s="1"/>
  <c r="Z11" i="19" s="1"/>
  <c r="AA11" i="19" s="1"/>
  <c r="E234" i="18"/>
  <c r="E235" i="18"/>
  <c r="E236" i="18"/>
  <c r="E237" i="18"/>
  <c r="E238" i="18"/>
  <c r="D235" i="18"/>
  <c r="D236" i="18"/>
  <c r="D237" i="18"/>
  <c r="D238" i="18"/>
  <c r="D234" i="18"/>
  <c r="E217" i="18"/>
  <c r="F217" i="18"/>
  <c r="G217" i="18"/>
  <c r="D217" i="18"/>
  <c r="G209" i="18"/>
  <c r="F209" i="18"/>
  <c r="E209" i="18"/>
  <c r="D209" i="18"/>
  <c r="G212" i="18"/>
  <c r="F212" i="18"/>
  <c r="E212" i="18"/>
  <c r="D212" i="18"/>
  <c r="G203" i="18"/>
  <c r="F203" i="18"/>
  <c r="E203" i="18"/>
  <c r="D203" i="18"/>
  <c r="N15" i="19" l="1"/>
  <c r="N18" i="19" s="1"/>
  <c r="O15" i="19"/>
  <c r="P15" i="19" s="1"/>
  <c r="P31" i="19" s="1"/>
  <c r="E44" i="18"/>
  <c r="D47" i="18"/>
  <c r="E47" i="18" s="1"/>
  <c r="D44" i="18"/>
  <c r="M31" i="19"/>
  <c r="M18" i="19"/>
  <c r="N31" i="19" l="1"/>
  <c r="Q15" i="19"/>
  <c r="R15" i="19" s="1"/>
  <c r="S15" i="19" s="1"/>
  <c r="T15" i="19" s="1"/>
  <c r="U15" i="19" s="1"/>
  <c r="V15" i="19" s="1"/>
  <c r="W15" i="19" s="1"/>
  <c r="X15" i="19" s="1"/>
  <c r="X18" i="19" s="1"/>
  <c r="P18" i="19"/>
  <c r="O31" i="19"/>
  <c r="O18" i="19"/>
  <c r="U31" i="19"/>
  <c r="V31" i="19" l="1"/>
  <c r="U18" i="19"/>
  <c r="R31" i="19"/>
  <c r="X31" i="19"/>
  <c r="W31" i="19"/>
  <c r="R18" i="19"/>
  <c r="V18" i="19"/>
  <c r="T31" i="19"/>
  <c r="S18" i="19"/>
  <c r="T18" i="19"/>
  <c r="Y15" i="19"/>
  <c r="Y31" i="19" s="1"/>
  <c r="Q18" i="19"/>
  <c r="W18" i="19"/>
  <c r="S31" i="19"/>
  <c r="Q31" i="19"/>
  <c r="Z15" i="19" l="1"/>
  <c r="AA15" i="19" s="1"/>
  <c r="Y18" i="19"/>
  <c r="Z31" i="19" l="1"/>
  <c r="Z18" i="19"/>
  <c r="AA31" i="19"/>
  <c r="D34" i="19" s="1"/>
  <c r="AA18" i="19"/>
  <c r="D21" i="19" s="1"/>
  <c r="E187" i="18" s="1"/>
  <c r="G233" i="18" l="1"/>
  <c r="F233" i="18"/>
  <c r="E233" i="18"/>
  <c r="D233" i="18"/>
  <c r="G226" i="18"/>
  <c r="F226" i="18"/>
  <c r="E226" i="18"/>
  <c r="D226" i="18"/>
  <c r="E222" i="18"/>
  <c r="F223" i="18"/>
  <c r="F237" i="18" s="1"/>
  <c r="G220" i="18"/>
  <c r="G234" i="18" s="1"/>
  <c r="D221" i="18"/>
  <c r="G219" i="18"/>
  <c r="F219" i="18"/>
  <c r="E219" i="18"/>
  <c r="D219" i="18"/>
  <c r="G216" i="18"/>
  <c r="F216" i="18"/>
  <c r="E216" i="18"/>
  <c r="D216" i="18"/>
  <c r="E85" i="18"/>
  <c r="E86" i="18" s="1"/>
  <c r="D86" i="18"/>
  <c r="G66" i="18"/>
  <c r="F66" i="18"/>
  <c r="G62" i="18"/>
  <c r="F62" i="18"/>
  <c r="F153" i="18"/>
  <c r="G153" i="18"/>
  <c r="A54" i="18"/>
  <c r="A52" i="17"/>
  <c r="A26" i="17"/>
  <c r="A28" i="18"/>
  <c r="F253" i="18"/>
  <c r="G253" i="18"/>
  <c r="F158" i="18"/>
  <c r="F162" i="18" s="1"/>
  <c r="G158" i="18"/>
  <c r="G163" i="18" s="1"/>
  <c r="G250" i="18"/>
  <c r="F250" i="18"/>
  <c r="E250" i="18"/>
  <c r="D250" i="18"/>
  <c r="G244" i="18"/>
  <c r="F244" i="18"/>
  <c r="E244" i="18"/>
  <c r="D244" i="18"/>
  <c r="G192" i="18"/>
  <c r="F192" i="18"/>
  <c r="E192" i="18"/>
  <c r="D192" i="18"/>
  <c r="G174" i="18"/>
  <c r="F174" i="18"/>
  <c r="E174" i="18"/>
  <c r="D174" i="18"/>
  <c r="G167" i="18"/>
  <c r="F167" i="18"/>
  <c r="E167" i="18"/>
  <c r="D167" i="18"/>
  <c r="G160" i="18"/>
  <c r="F160" i="18"/>
  <c r="E160" i="18"/>
  <c r="D160" i="18"/>
  <c r="G157" i="18"/>
  <c r="F157" i="18"/>
  <c r="E157" i="18"/>
  <c r="D157" i="18"/>
  <c r="G150" i="18"/>
  <c r="F150" i="18"/>
  <c r="E150" i="18"/>
  <c r="D150" i="18"/>
  <c r="G143" i="18"/>
  <c r="F143" i="18"/>
  <c r="E143" i="18"/>
  <c r="D143" i="18"/>
  <c r="G133" i="18"/>
  <c r="F133" i="18"/>
  <c r="E133" i="18"/>
  <c r="D133" i="18"/>
  <c r="G123" i="18"/>
  <c r="F123" i="18"/>
  <c r="E123" i="18"/>
  <c r="D123" i="18"/>
  <c r="G113" i="18"/>
  <c r="F113" i="18"/>
  <c r="E113" i="18"/>
  <c r="D113" i="18"/>
  <c r="G106" i="18"/>
  <c r="F106" i="18"/>
  <c r="E106" i="18"/>
  <c r="D106" i="18"/>
  <c r="G99" i="18"/>
  <c r="F99" i="18"/>
  <c r="E99" i="18"/>
  <c r="D99" i="18"/>
  <c r="G96" i="18"/>
  <c r="F96" i="18"/>
  <c r="E96" i="18"/>
  <c r="D96" i="18"/>
  <c r="G88" i="18"/>
  <c r="F88" i="18"/>
  <c r="E88" i="18"/>
  <c r="D88" i="18"/>
  <c r="G78" i="18"/>
  <c r="F78" i="18"/>
  <c r="E78" i="18"/>
  <c r="D78" i="18"/>
  <c r="G75" i="18"/>
  <c r="F75" i="18"/>
  <c r="F86" i="18"/>
  <c r="G86" i="18"/>
  <c r="F92" i="18"/>
  <c r="G92" i="18"/>
  <c r="F100" i="18"/>
  <c r="F175" i="18" s="1"/>
  <c r="G100" i="18"/>
  <c r="G175" i="18" s="1"/>
  <c r="F101" i="18"/>
  <c r="F176" i="18" s="1"/>
  <c r="G101" i="18"/>
  <c r="G135" i="18" s="1"/>
  <c r="F102" i="18"/>
  <c r="F177" i="18" s="1"/>
  <c r="G102" i="18"/>
  <c r="G136" i="18" s="1"/>
  <c r="F103" i="18"/>
  <c r="F137" i="18" s="1"/>
  <c r="G103" i="18"/>
  <c r="G178" i="18" s="1"/>
  <c r="F104" i="18"/>
  <c r="F179" i="18" s="1"/>
  <c r="G104" i="18"/>
  <c r="G179" i="18" s="1"/>
  <c r="E253" i="18"/>
  <c r="D253" i="18"/>
  <c r="E158" i="18"/>
  <c r="E165" i="18" s="1"/>
  <c r="D158" i="18"/>
  <c r="D164" i="18" s="1"/>
  <c r="E153" i="18"/>
  <c r="D153" i="18"/>
  <c r="E104" i="18"/>
  <c r="E138" i="18" s="1"/>
  <c r="D104" i="18"/>
  <c r="D138" i="18" s="1"/>
  <c r="E103" i="18"/>
  <c r="E137" i="18" s="1"/>
  <c r="D103" i="18"/>
  <c r="D137" i="18" s="1"/>
  <c r="E102" i="18"/>
  <c r="E136" i="18" s="1"/>
  <c r="D102" i="18"/>
  <c r="D136" i="18" s="1"/>
  <c r="E101" i="18"/>
  <c r="E176" i="18" s="1"/>
  <c r="D101" i="18"/>
  <c r="D176" i="18" s="1"/>
  <c r="E100" i="18"/>
  <c r="E134" i="18" s="1"/>
  <c r="D100" i="18"/>
  <c r="D134" i="18" s="1"/>
  <c r="E92" i="18"/>
  <c r="D92" i="18"/>
  <c r="E75" i="18"/>
  <c r="D75" i="18"/>
  <c r="D30" i="18" s="1"/>
  <c r="D34" i="18" s="1"/>
  <c r="E66" i="18"/>
  <c r="D66" i="18"/>
  <c r="E62" i="18"/>
  <c r="D62" i="18"/>
  <c r="E132" i="17"/>
  <c r="E119" i="17"/>
  <c r="D119" i="17"/>
  <c r="E109" i="17"/>
  <c r="D109" i="17"/>
  <c r="E197" i="17"/>
  <c r="D197" i="17"/>
  <c r="E194" i="17"/>
  <c r="D194" i="17"/>
  <c r="E56" i="17" s="1"/>
  <c r="E188" i="17"/>
  <c r="D188" i="17"/>
  <c r="E182" i="17"/>
  <c r="D182" i="17"/>
  <c r="D43" i="17" s="1"/>
  <c r="E170" i="17"/>
  <c r="D170" i="17"/>
  <c r="E163" i="17"/>
  <c r="D163" i="17"/>
  <c r="E156" i="17"/>
  <c r="D156" i="17"/>
  <c r="E154" i="17"/>
  <c r="E158" i="17" s="1"/>
  <c r="D154" i="17"/>
  <c r="D157" i="17" s="1"/>
  <c r="E153" i="17"/>
  <c r="D153" i="17"/>
  <c r="E149" i="17"/>
  <c r="D149" i="17"/>
  <c r="E146" i="17"/>
  <c r="D146" i="17"/>
  <c r="E139" i="17"/>
  <c r="D139" i="17"/>
  <c r="E34" i="17" s="1"/>
  <c r="E129" i="17"/>
  <c r="D129" i="17"/>
  <c r="E102" i="17"/>
  <c r="D102" i="17"/>
  <c r="E100" i="17"/>
  <c r="E175" i="17" s="1"/>
  <c r="D100" i="17"/>
  <c r="D134" i="17" s="1"/>
  <c r="E99" i="17"/>
  <c r="E174" i="17" s="1"/>
  <c r="D99" i="17"/>
  <c r="D174" i="17" s="1"/>
  <c r="E98" i="17"/>
  <c r="E173" i="17" s="1"/>
  <c r="D98" i="17"/>
  <c r="D173" i="17" s="1"/>
  <c r="E97" i="17"/>
  <c r="E172" i="17" s="1"/>
  <c r="D97" i="17"/>
  <c r="D172" i="17" s="1"/>
  <c r="E96" i="17"/>
  <c r="E130" i="17" s="1"/>
  <c r="D96" i="17"/>
  <c r="D171" i="17" s="1"/>
  <c r="E95" i="17"/>
  <c r="D95" i="17"/>
  <c r="E92" i="17"/>
  <c r="D92" i="17"/>
  <c r="E88" i="17"/>
  <c r="D88" i="17"/>
  <c r="E82" i="17"/>
  <c r="D82" i="17"/>
  <c r="E80" i="17"/>
  <c r="D80" i="17"/>
  <c r="E76" i="17"/>
  <c r="D76" i="17"/>
  <c r="E73" i="17"/>
  <c r="D73" i="17"/>
  <c r="D28" i="17" s="1"/>
  <c r="D32" i="17" s="1"/>
  <c r="E64" i="17"/>
  <c r="D64" i="17"/>
  <c r="D29" i="17" s="1"/>
  <c r="E60" i="17"/>
  <c r="D60" i="17"/>
  <c r="J168" i="6"/>
  <c r="I168" i="6"/>
  <c r="H168" i="6"/>
  <c r="G168" i="6"/>
  <c r="F168" i="6"/>
  <c r="E168" i="6"/>
  <c r="D168" i="6"/>
  <c r="J65" i="6"/>
  <c r="I65" i="6"/>
  <c r="H65" i="6"/>
  <c r="G65" i="6"/>
  <c r="F65" i="6"/>
  <c r="E65" i="6"/>
  <c r="D65" i="6"/>
  <c r="I175" i="6"/>
  <c r="E101" i="6"/>
  <c r="F101" i="6"/>
  <c r="G101" i="6"/>
  <c r="H101" i="6"/>
  <c r="I101" i="6"/>
  <c r="J101" i="6"/>
  <c r="E102" i="6"/>
  <c r="F102" i="6"/>
  <c r="G102" i="6"/>
  <c r="H102" i="6"/>
  <c r="I102" i="6"/>
  <c r="J102" i="6"/>
  <c r="E103" i="6"/>
  <c r="F103" i="6"/>
  <c r="G103" i="6"/>
  <c r="H103" i="6"/>
  <c r="I103" i="6"/>
  <c r="J103" i="6"/>
  <c r="E104" i="6"/>
  <c r="F104" i="6"/>
  <c r="G104" i="6"/>
  <c r="H104" i="6"/>
  <c r="I104" i="6"/>
  <c r="J104" i="6"/>
  <c r="E105" i="6"/>
  <c r="F105" i="6"/>
  <c r="G105" i="6"/>
  <c r="H105" i="6"/>
  <c r="I105" i="6"/>
  <c r="J105" i="6"/>
  <c r="D102" i="6"/>
  <c r="D103" i="6"/>
  <c r="D104" i="6"/>
  <c r="D105" i="6"/>
  <c r="D101" i="6"/>
  <c r="E140" i="6"/>
  <c r="E143" i="6" s="1"/>
  <c r="F140" i="6"/>
  <c r="F143" i="6" s="1"/>
  <c r="G140" i="6"/>
  <c r="G144" i="6" s="1"/>
  <c r="H140" i="6"/>
  <c r="H144" i="6" s="1"/>
  <c r="I140" i="6"/>
  <c r="I145" i="6" s="1"/>
  <c r="J140" i="6"/>
  <c r="J145" i="6" s="1"/>
  <c r="D140" i="6"/>
  <c r="D146" i="6" s="1"/>
  <c r="J142" i="6"/>
  <c r="I142" i="6"/>
  <c r="H142" i="6"/>
  <c r="G142" i="6"/>
  <c r="F142" i="6"/>
  <c r="E142" i="6"/>
  <c r="D142" i="6"/>
  <c r="J139" i="6"/>
  <c r="I139" i="6"/>
  <c r="H139" i="6"/>
  <c r="G139" i="6"/>
  <c r="F139" i="6"/>
  <c r="E139" i="6"/>
  <c r="D139" i="6"/>
  <c r="D149" i="6"/>
  <c r="E149" i="6"/>
  <c r="F149" i="6"/>
  <c r="G149" i="6"/>
  <c r="H149" i="6"/>
  <c r="I149" i="6"/>
  <c r="J149" i="6"/>
  <c r="D124" i="6"/>
  <c r="J97" i="6"/>
  <c r="I97" i="6"/>
  <c r="H97" i="6"/>
  <c r="G97" i="6"/>
  <c r="F97" i="6"/>
  <c r="E97" i="6"/>
  <c r="D97" i="6"/>
  <c r="J183" i="6"/>
  <c r="I183" i="6"/>
  <c r="H183" i="6"/>
  <c r="G183" i="6"/>
  <c r="F183" i="6"/>
  <c r="E183" i="6"/>
  <c r="D183" i="6"/>
  <c r="J180" i="6"/>
  <c r="I180" i="6"/>
  <c r="H180" i="6"/>
  <c r="G180" i="6"/>
  <c r="F180" i="6"/>
  <c r="E180" i="6"/>
  <c r="D180" i="6"/>
  <c r="J174" i="6"/>
  <c r="I174" i="6"/>
  <c r="H174" i="6"/>
  <c r="G174" i="6"/>
  <c r="F174" i="6"/>
  <c r="E174" i="6"/>
  <c r="D174" i="6"/>
  <c r="A57" i="6"/>
  <c r="A31" i="6"/>
  <c r="J69" i="6"/>
  <c r="I69" i="6"/>
  <c r="H69" i="6"/>
  <c r="G69" i="6"/>
  <c r="F69" i="6"/>
  <c r="E69" i="6"/>
  <c r="D69" i="6"/>
  <c r="D37" i="17" l="1"/>
  <c r="E37" i="17" s="1"/>
  <c r="E55" i="17"/>
  <c r="E133" i="17"/>
  <c r="D132" i="17"/>
  <c r="D133" i="17"/>
  <c r="E134" i="17"/>
  <c r="D31" i="18"/>
  <c r="E57" i="18"/>
  <c r="G222" i="18"/>
  <c r="G236" i="18" s="1"/>
  <c r="G224" i="18"/>
  <c r="G238" i="18" s="1"/>
  <c r="G223" i="18"/>
  <c r="G237" i="18" s="1"/>
  <c r="D220" i="18"/>
  <c r="D239" i="18"/>
  <c r="D224" i="18"/>
  <c r="F222" i="18"/>
  <c r="F236" i="18" s="1"/>
  <c r="D45" i="18"/>
  <c r="E45" i="18" s="1"/>
  <c r="D222" i="18"/>
  <c r="G221" i="18"/>
  <c r="G235" i="18" s="1"/>
  <c r="E221" i="18"/>
  <c r="F221" i="18"/>
  <c r="F235" i="18" s="1"/>
  <c r="E220" i="18"/>
  <c r="F134" i="18"/>
  <c r="D223" i="18"/>
  <c r="F220" i="18"/>
  <c r="F234" i="18" s="1"/>
  <c r="E224" i="18"/>
  <c r="F224" i="18"/>
  <c r="F238" i="18" s="1"/>
  <c r="E223" i="18"/>
  <c r="D39" i="18"/>
  <c r="E39" i="18" s="1"/>
  <c r="F138" i="18"/>
  <c r="G164" i="18"/>
  <c r="G137" i="18"/>
  <c r="F136" i="18"/>
  <c r="G165" i="18"/>
  <c r="F165" i="18"/>
  <c r="E58" i="18"/>
  <c r="G134" i="18"/>
  <c r="F164" i="18"/>
  <c r="G138" i="18"/>
  <c r="F163" i="18"/>
  <c r="G161" i="18"/>
  <c r="F161" i="18"/>
  <c r="G176" i="18"/>
  <c r="F178" i="18"/>
  <c r="F180" i="18" s="1"/>
  <c r="G162" i="18"/>
  <c r="G177" i="18"/>
  <c r="D165" i="18"/>
  <c r="F135" i="18"/>
  <c r="D161" i="18"/>
  <c r="E162" i="18"/>
  <c r="E135" i="18"/>
  <c r="E139" i="18" s="1"/>
  <c r="E144" i="18" s="1"/>
  <c r="D135" i="18"/>
  <c r="D139" i="18" s="1"/>
  <c r="D144" i="18" s="1"/>
  <c r="D162" i="18"/>
  <c r="D177" i="18"/>
  <c r="E177" i="18"/>
  <c r="D163" i="18"/>
  <c r="D178" i="18"/>
  <c r="E163" i="18"/>
  <c r="E178" i="18"/>
  <c r="D175" i="18"/>
  <c r="D179" i="18"/>
  <c r="E164" i="18"/>
  <c r="E175" i="18"/>
  <c r="E179" i="18"/>
  <c r="E161" i="18"/>
  <c r="D160" i="17"/>
  <c r="D130" i="17"/>
  <c r="E131" i="17"/>
  <c r="E157" i="17"/>
  <c r="D175" i="17"/>
  <c r="D176" i="17" s="1"/>
  <c r="D62" i="17" s="1"/>
  <c r="D131" i="17"/>
  <c r="D161" i="17"/>
  <c r="E161" i="17"/>
  <c r="E43" i="17"/>
  <c r="E171" i="17"/>
  <c r="E176" i="17" s="1"/>
  <c r="D159" i="17"/>
  <c r="E160" i="17"/>
  <c r="D158" i="17"/>
  <c r="E159" i="17"/>
  <c r="D34" i="6"/>
  <c r="E60" i="6"/>
  <c r="E61" i="6"/>
  <c r="J147" i="6"/>
  <c r="J146" i="6"/>
  <c r="D144" i="6"/>
  <c r="I146" i="6"/>
  <c r="H146" i="6"/>
  <c r="H145" i="6"/>
  <c r="G145" i="6"/>
  <c r="D145" i="6"/>
  <c r="J143" i="6"/>
  <c r="F144" i="6"/>
  <c r="I147" i="6"/>
  <c r="G146" i="6"/>
  <c r="E145" i="6"/>
  <c r="I143" i="6"/>
  <c r="E144" i="6"/>
  <c r="F145" i="6"/>
  <c r="H147" i="6"/>
  <c r="F146" i="6"/>
  <c r="J144" i="6"/>
  <c r="H143" i="6"/>
  <c r="D143" i="6"/>
  <c r="G147" i="6"/>
  <c r="E146" i="6"/>
  <c r="I144" i="6"/>
  <c r="G143" i="6"/>
  <c r="D147" i="6"/>
  <c r="F147" i="6"/>
  <c r="E147" i="6"/>
  <c r="D63" i="18" l="1"/>
  <c r="D38" i="17"/>
  <c r="E62" i="17"/>
  <c r="F239" i="18"/>
  <c r="F63" i="18" s="1"/>
  <c r="E239" i="18"/>
  <c r="E63" i="18" s="1"/>
  <c r="G239" i="18"/>
  <c r="G139" i="18"/>
  <c r="G144" i="18" s="1"/>
  <c r="G64" i="18" s="1"/>
  <c r="G180" i="18"/>
  <c r="F139" i="18"/>
  <c r="D180" i="18"/>
  <c r="D64" i="18" s="1"/>
  <c r="E180" i="18"/>
  <c r="E64" i="18" s="1"/>
  <c r="D135" i="17"/>
  <c r="D61" i="17" s="1"/>
  <c r="E135" i="17"/>
  <c r="E61" i="17" s="1"/>
  <c r="E54" i="15"/>
  <c r="D32" i="15"/>
  <c r="J156" i="6"/>
  <c r="I156" i="6"/>
  <c r="H156" i="6"/>
  <c r="G156" i="6"/>
  <c r="F156" i="6"/>
  <c r="E156" i="6"/>
  <c r="D156" i="6"/>
  <c r="D48" i="18" l="1"/>
  <c r="G63" i="18"/>
  <c r="D33" i="17"/>
  <c r="D34" i="17" s="1"/>
  <c r="F144" i="18"/>
  <c r="F64" i="18" s="1"/>
  <c r="E48" i="18"/>
  <c r="D35" i="18"/>
  <c r="D36" i="18" s="1"/>
  <c r="E36" i="18"/>
  <c r="D40" i="18"/>
  <c r="D39" i="17"/>
  <c r="E38" i="17"/>
  <c r="E39" i="17" s="1"/>
  <c r="E50" i="17" s="1"/>
  <c r="J114" i="6"/>
  <c r="I114" i="6"/>
  <c r="H114" i="6"/>
  <c r="G114" i="6"/>
  <c r="F114" i="6"/>
  <c r="D114" i="6"/>
  <c r="E114" i="6"/>
  <c r="D49" i="17" l="1"/>
  <c r="E40" i="18"/>
  <c r="E41" i="18" s="1"/>
  <c r="E52" i="18" s="1"/>
  <c r="D41" i="18"/>
  <c r="D51" i="18" s="1"/>
  <c r="H85" i="6"/>
  <c r="I83" i="6"/>
  <c r="I84" i="6"/>
  <c r="J83" i="6"/>
  <c r="J84" i="6"/>
  <c r="J24" i="16"/>
  <c r="D12" i="16"/>
  <c r="E24" i="16" s="1"/>
  <c r="E44" i="15"/>
  <c r="F44" i="15"/>
  <c r="G44" i="15"/>
  <c r="D44" i="15"/>
  <c r="E40" i="15"/>
  <c r="F40" i="15"/>
  <c r="G40" i="15"/>
  <c r="D40" i="15"/>
  <c r="E36" i="15"/>
  <c r="F36" i="15"/>
  <c r="G36" i="15"/>
  <c r="D36" i="15"/>
  <c r="G34" i="15"/>
  <c r="F34" i="15"/>
  <c r="E34" i="15"/>
  <c r="D34" i="15"/>
  <c r="E32" i="15"/>
  <c r="F32" i="15"/>
  <c r="G32" i="15"/>
  <c r="G24" i="16" l="1"/>
  <c r="I85" i="6"/>
  <c r="J85" i="6"/>
  <c r="D24" i="16"/>
  <c r="J169" i="6" s="1"/>
  <c r="D48" i="6" s="1"/>
  <c r="E48" i="6" s="1"/>
  <c r="H24" i="16"/>
  <c r="I24" i="16"/>
  <c r="F24" i="16"/>
  <c r="D37" i="15"/>
  <c r="D51" i="15" s="1"/>
  <c r="H51" i="15" s="1"/>
  <c r="G37" i="15"/>
  <c r="F37" i="15"/>
  <c r="E37" i="15"/>
  <c r="D45" i="15" l="1"/>
  <c r="D41" i="15"/>
  <c r="E45" i="15"/>
  <c r="E41" i="15"/>
  <c r="F45" i="15"/>
  <c r="F41" i="15"/>
  <c r="F59" i="15" s="1"/>
  <c r="G45" i="15"/>
  <c r="G66" i="15" s="1"/>
  <c r="G41" i="15"/>
  <c r="G64" i="15" s="1"/>
  <c r="F66" i="15" l="1"/>
  <c r="F61" i="15"/>
  <c r="E56" i="15"/>
  <c r="D55" i="15"/>
  <c r="D56" i="15" s="1"/>
  <c r="H56" i="15" l="1"/>
  <c r="E60" i="15" s="1"/>
  <c r="E61" i="15" s="1"/>
  <c r="D60" i="15" l="1"/>
  <c r="D61" i="15" s="1"/>
  <c r="H61" i="15" s="1"/>
  <c r="F65" i="15" s="1"/>
  <c r="D65" i="15" l="1"/>
  <c r="D66" i="15" s="1"/>
  <c r="E65" i="15"/>
  <c r="E66" i="15" s="1"/>
  <c r="H66" i="15" l="1"/>
  <c r="D67" i="15" l="1"/>
  <c r="E67" i="15"/>
  <c r="D93" i="6" l="1"/>
  <c r="J93" i="6"/>
  <c r="I93" i="6"/>
  <c r="H93" i="6"/>
  <c r="G93" i="6"/>
  <c r="F93" i="6"/>
  <c r="E93" i="6"/>
  <c r="J88" i="6"/>
  <c r="I88" i="6"/>
  <c r="H88" i="6"/>
  <c r="G88" i="6"/>
  <c r="F88" i="6"/>
  <c r="E88" i="6"/>
  <c r="D88" i="6"/>
  <c r="J78" i="6"/>
  <c r="I78" i="6"/>
  <c r="H78" i="6"/>
  <c r="G78" i="6"/>
  <c r="F78" i="6"/>
  <c r="E78" i="6"/>
  <c r="D78" i="6"/>
  <c r="J124" i="6"/>
  <c r="I124" i="6"/>
  <c r="H124" i="6"/>
  <c r="G124" i="6"/>
  <c r="F124" i="6"/>
  <c r="E124" i="6"/>
  <c r="E39" i="6" l="1"/>
  <c r="D33" i="6"/>
  <c r="D160" i="6" l="1"/>
  <c r="J107" i="6"/>
  <c r="I107" i="6"/>
  <c r="H107" i="6"/>
  <c r="G107" i="6"/>
  <c r="F107" i="6"/>
  <c r="E107" i="6"/>
  <c r="D107" i="6"/>
  <c r="J100" i="6"/>
  <c r="I100" i="6"/>
  <c r="H100" i="6"/>
  <c r="G100" i="6"/>
  <c r="F100" i="6"/>
  <c r="E100" i="6"/>
  <c r="D100" i="6"/>
  <c r="J131" i="6"/>
  <c r="I131" i="6"/>
  <c r="H131" i="6"/>
  <c r="G131" i="6"/>
  <c r="F131" i="6"/>
  <c r="E131" i="6"/>
  <c r="D131" i="6"/>
  <c r="J81" i="6"/>
  <c r="I81" i="6"/>
  <c r="H81" i="6"/>
  <c r="G81" i="6"/>
  <c r="F81" i="6"/>
  <c r="E81" i="6"/>
  <c r="D81" i="6"/>
  <c r="I135" i="6"/>
  <c r="J135" i="6"/>
  <c r="I86" i="6"/>
  <c r="J86" i="6"/>
  <c r="H135" i="6"/>
  <c r="G135" i="6"/>
  <c r="F135" i="6"/>
  <c r="E135" i="6"/>
  <c r="E67" i="6" s="1"/>
  <c r="D135" i="6"/>
  <c r="D67" i="6" s="1"/>
  <c r="H86" i="6"/>
  <c r="G86" i="6"/>
  <c r="F86" i="6"/>
  <c r="E86" i="6"/>
  <c r="D86" i="6"/>
  <c r="D37" i="6" l="1"/>
  <c r="D42" i="6"/>
  <c r="E42" i="6" s="1"/>
  <c r="G116" i="6"/>
  <c r="G158" i="6"/>
  <c r="D116" i="6"/>
  <c r="D158" i="6"/>
  <c r="I118" i="6"/>
  <c r="I160" i="6"/>
  <c r="G117" i="6"/>
  <c r="G159" i="6"/>
  <c r="E116" i="6"/>
  <c r="E158" i="6"/>
  <c r="E119" i="6"/>
  <c r="E161" i="6"/>
  <c r="J119" i="6"/>
  <c r="J161" i="6"/>
  <c r="H118" i="6"/>
  <c r="H160" i="6"/>
  <c r="F117" i="6"/>
  <c r="F159" i="6"/>
  <c r="J115" i="6"/>
  <c r="J157" i="6"/>
  <c r="D117" i="6"/>
  <c r="D159" i="6"/>
  <c r="I119" i="6"/>
  <c r="I161" i="6"/>
  <c r="G118" i="6"/>
  <c r="G160" i="6"/>
  <c r="E117" i="6"/>
  <c r="E159" i="6"/>
  <c r="I115" i="6"/>
  <c r="I157" i="6"/>
  <c r="E115" i="6"/>
  <c r="E157" i="6"/>
  <c r="J118" i="6"/>
  <c r="J160" i="6"/>
  <c r="H119" i="6"/>
  <c r="H161" i="6"/>
  <c r="F118" i="6"/>
  <c r="F160" i="6"/>
  <c r="J116" i="6"/>
  <c r="J158" i="6"/>
  <c r="H115" i="6"/>
  <c r="H157" i="6"/>
  <c r="I117" i="6"/>
  <c r="I159" i="6"/>
  <c r="H117" i="6"/>
  <c r="H159" i="6"/>
  <c r="D157" i="6"/>
  <c r="D115" i="6"/>
  <c r="G119" i="6"/>
  <c r="G161" i="6"/>
  <c r="E118" i="6"/>
  <c r="E160" i="6"/>
  <c r="I116" i="6"/>
  <c r="I158" i="6"/>
  <c r="G115" i="6"/>
  <c r="G157" i="6"/>
  <c r="F116" i="6"/>
  <c r="F158" i="6"/>
  <c r="D119" i="6"/>
  <c r="D161" i="6"/>
  <c r="F119" i="6"/>
  <c r="F161" i="6"/>
  <c r="J117" i="6"/>
  <c r="J159" i="6"/>
  <c r="H116" i="6"/>
  <c r="H158" i="6"/>
  <c r="F115" i="6"/>
  <c r="F157" i="6"/>
  <c r="D118" i="6"/>
  <c r="G162" i="6" l="1"/>
  <c r="E162" i="6"/>
  <c r="D162" i="6"/>
  <c r="E120" i="6"/>
  <c r="I120" i="6"/>
  <c r="I66" i="6" s="1"/>
  <c r="F120" i="6"/>
  <c r="J120" i="6"/>
  <c r="J66" i="6" s="1"/>
  <c r="D120" i="6"/>
  <c r="D66" i="6" s="1"/>
  <c r="I162" i="6"/>
  <c r="I67" i="6" s="1"/>
  <c r="F162" i="6"/>
  <c r="F67" i="6" s="1"/>
  <c r="J162" i="6"/>
  <c r="J67" i="6" s="1"/>
  <c r="G120" i="6"/>
  <c r="G66" i="6" s="1"/>
  <c r="G125" i="6" s="1"/>
  <c r="H120" i="6"/>
  <c r="H162" i="6"/>
  <c r="H67" i="6" s="1"/>
  <c r="G67" i="6" l="1"/>
  <c r="E66" i="6"/>
  <c r="F66" i="6"/>
  <c r="H66" i="6"/>
  <c r="D38" i="6"/>
  <c r="D39" i="6" s="1"/>
  <c r="D43" i="6"/>
  <c r="E43" i="6" s="1"/>
  <c r="D44" i="6" l="1"/>
  <c r="D54" i="6" s="1"/>
  <c r="E44" i="6"/>
  <c r="E55" i="6" s="1"/>
</calcChain>
</file>

<file path=xl/sharedStrings.xml><?xml version="1.0" encoding="utf-8"?>
<sst xmlns="http://schemas.openxmlformats.org/spreadsheetml/2006/main" count="1735" uniqueCount="461">
  <si>
    <t>Summary of worked examples</t>
  </si>
  <si>
    <t>Scenario</t>
  </si>
  <si>
    <t>Variant</t>
  </si>
  <si>
    <t>Description</t>
  </si>
  <si>
    <t>Location type</t>
  </si>
  <si>
    <t>Posted charge</t>
  </si>
  <si>
    <t>Flexi scheme</t>
  </si>
  <si>
    <t>Customer-selected enhancement</t>
  </si>
  <si>
    <t>Distributor-selected enhancement</t>
  </si>
  <si>
    <t>Capacity cost allocation</t>
  </si>
  <si>
    <t>Bespoke or project capacity cost</t>
  </si>
  <si>
    <t>Active pioneer scheme</t>
  </si>
  <si>
    <t>Local cost recovery scheme</t>
  </si>
  <si>
    <t>Incremental transmission costs</t>
  </si>
  <si>
    <t>Connection includes injection</t>
  </si>
  <si>
    <t>Revenue life for reconciliation</t>
  </si>
  <si>
    <t>Variants illustrate:</t>
  </si>
  <si>
    <t>1. Small</t>
  </si>
  <si>
    <t>1a</t>
  </si>
  <si>
    <t>Small urban residential connection with posted charge</t>
  </si>
  <si>
    <t>urban</t>
  </si>
  <si>
    <t>ü</t>
  </si>
  <si>
    <t>û</t>
  </si>
  <si>
    <t>30 years</t>
  </si>
  <si>
    <t xml:space="preserve"> -  use of posted charges
 -  application of enhancement cost allocation, capacity costing, pioneer scheme calculations, and local cost recovery schemes
 -  top-down revenue estimate.</t>
  </si>
  <si>
    <t>1b</t>
  </si>
  <si>
    <t>Small urban residential connection with two-phase connection</t>
  </si>
  <si>
    <t>1c</t>
  </si>
  <si>
    <t>Small urban residential connection with two-phase connection and upstream cost allocation</t>
  </si>
  <si>
    <t>1d</t>
  </si>
  <si>
    <t>Upgrade of existing small urban residential connection to two-phase connection (with upstream cost allocation)</t>
  </si>
  <si>
    <t>1e</t>
  </si>
  <si>
    <t>Small rural non-residential connection with upstream cost allocation</t>
  </si>
  <si>
    <t>rural</t>
  </si>
  <si>
    <t>15 years</t>
  </si>
  <si>
    <t>1f</t>
  </si>
  <si>
    <t>Small rural non-residential connection in location with active pioneer scheme</t>
  </si>
  <si>
    <t>1g</t>
  </si>
  <si>
    <t>Small rural non-residential connection in location with local cost recovery scheme</t>
  </si>
  <si>
    <t>2. Remote mid-sized</t>
  </si>
  <si>
    <t>2a</t>
  </si>
  <si>
    <t>Remote mid-sized connection with extension-like upgrade</t>
  </si>
  <si>
    <t>remote</t>
  </si>
  <si>
    <t>bespoke</t>
  </si>
  <si>
    <t xml:space="preserve"> -  an extension-like upgrade
 -  use of a bespoke capacity rate
 -  bottom-up incremental revenue estimate
 -  use of a minimum flexi scheme.
</t>
  </si>
  <si>
    <t>2b</t>
  </si>
  <si>
    <t xml:space="preserve">Remote mid-sized flexi connection </t>
  </si>
  <si>
    <t>3. Large</t>
  </si>
  <si>
    <t>3a</t>
  </si>
  <si>
    <t>Large connection at zone substation level with special pricing</t>
  </si>
  <si>
    <t xml:space="preserve"> -  reconciliation for a customer with special pricing
 -  application of incremental transmission costs
 -  the application of distribution connection pricing when there is both load and injection.</t>
  </si>
  <si>
    <t>3b</t>
  </si>
  <si>
    <t>Large connection at zone substation level with special pricing that involves GXP work (includes ITCs)</t>
  </si>
  <si>
    <t>3c</t>
  </si>
  <si>
    <t>Large connection at zone substation level with small injection (&lt; 1 MVA)</t>
  </si>
  <si>
    <t>3d</t>
  </si>
  <si>
    <t>Large connection at zone substation level with mid-sized injection (~ 1.5 MVA)</t>
  </si>
  <si>
    <t>Customer connection charge calculation for small connection variants (Scenario 1)</t>
  </si>
  <si>
    <t>key</t>
  </si>
  <si>
    <t>input</t>
  </si>
  <si>
    <t>linked</t>
  </si>
  <si>
    <t>calculated</t>
  </si>
  <si>
    <t>selection</t>
  </si>
  <si>
    <t>set number</t>
  </si>
  <si>
    <t>All $ inputs are real 2025</t>
  </si>
  <si>
    <t>Explanatory notes</t>
  </si>
  <si>
    <t>Purpose</t>
  </si>
  <si>
    <t>Other comments</t>
  </si>
  <si>
    <t>The spreadsheet calculates the incremental cost and customer connection charge for the small connection (Scenario 1) variants in the Electricity Authority's distribution connnection pricing worked examples. It illustrates how a distributor allocates costs to the connection customer under the Authority's fast-tracked changes. Some data from this spreadsheet feeds into the 'Reconciliation model' spreadsheet.</t>
  </si>
  <si>
    <t>Numbers in this spreadsheet are indicative only. Distributors should determine their own numbers. Full descriptions of the variants are in the Electricity Authority's 'Worked Examples' report and are summarised in the 'Summary of worked examples' tab.</t>
  </si>
  <si>
    <t>Layout of sheet</t>
  </si>
  <si>
    <t>- This sheet is split into six sections, which are numbered 1-6 below. 
- Section 1 lists the variants in Scenario 1, section 2 presents the cost and charge build up for a selected variant, section 3 provides the incremental cost and connection charge for all variants, and sections 4-6 include the inputs and calculations for each of the components of the cost and charge build up (minimum scheme/minimum flexi scheme, customer-selected enhancement, and other costs and charges).
- User should select the variant they're interested in (in the cell 'Sc1_variant' in section 1) to view the cost and charge build up for that variant in section 2.
- The sheet relies on inputs from the '1f, Pioneer scheme', '1g. Local hist cost recovery', and 'Network costing zones' tabs, as well as the accompanying 'Reconciliation model' spreadsheet.</t>
  </si>
  <si>
    <t>1. Variants</t>
  </si>
  <si>
    <t>Variants shown in this sheet:</t>
  </si>
  <si>
    <t>Variant for connection cost and charge summary</t>
  </si>
  <si>
    <t>2. Cost and charge build up for one variant</t>
  </si>
  <si>
    <t>This section shows the build up of costs and charges for the variant selected in the 'Sc1_variant' cell above. First it shows the incremental cost and connection charge build up and then it shows other charges (eg, pioneer scheme charges and connection fees) that are not part of the connection charge.</t>
  </si>
  <si>
    <t>Has the customer requested a flexi scheme?</t>
  </si>
  <si>
    <t>Is customer allocated upstream capacity costs?</t>
  </si>
  <si>
    <t>Minimum scheme/minimum flexi scheme (MS/MFS)</t>
  </si>
  <si>
    <t>Unit</t>
  </si>
  <si>
    <t>Cost</t>
  </si>
  <si>
    <t>Charge</t>
  </si>
  <si>
    <t>Notes/assumptions</t>
  </si>
  <si>
    <t>MS/MFS- extension cost (EC)</t>
  </si>
  <si>
    <t>$</t>
  </si>
  <si>
    <t xml:space="preserve">Calculated cost for the minimum scheme or minimum flexi scheme (as applicable). </t>
  </si>
  <si>
    <t>All of the Scenario 1 variants are based on the minimum scheme (not the minimum flexi scheme).</t>
  </si>
  <si>
    <t>MS/MFS - capacity (NCC)</t>
  </si>
  <si>
    <t>Upstream capacity costs for the minimum scheme.</t>
  </si>
  <si>
    <t>Are included in the cost regardless of whether the distributor allocates upstream capacity costs.</t>
  </si>
  <si>
    <t>MS/MFS (total)</t>
  </si>
  <si>
    <t>The new pricing requirements do not impose any direct constraints on the level of the MS/MFS charge. The distributor in Scenario 1 has decided to set a posted connection charge of $1,330 per connection for certain small residential connections. The requirements for this posted charge are meet by variants 1a-1c. For variant 1d, the distributor allocates 100% of the incremental cost. For variants 1e-1g, the distributor sets connection charges by crediting up to 65% of incremental revenue toward meeting incremental costs. Incremental revenue is calculated in the 'Reconciliation model' spreadsheet.</t>
  </si>
  <si>
    <t>Customer-selected enhancement (CSE)</t>
  </si>
  <si>
    <t>CSE - extension component</t>
  </si>
  <si>
    <t xml:space="preserve">Cost (and connection charge) for any customer-selected enhancement (excluding upstream capacity costs). </t>
  </si>
  <si>
    <t>Full cost of CSE must be passed on to customer. Only applicable to variants 1b and 1c in Scenario 1.</t>
  </si>
  <si>
    <t xml:space="preserve">CSE - capacity component </t>
  </si>
  <si>
    <t>The incremental capacity cost of the CSE (ie, the capacity cost of any incremental demand over-and-above the demand under the minimum scheme or minimum flexi scheme).</t>
  </si>
  <si>
    <t>If customer is allocated upstream capacity costs then full capacity component of CSE needs to be passed on to the customer. If customer is not allocated upstream capacity costs then charge for CSE - capacity component will be zero.</t>
  </si>
  <si>
    <t>CSE (total)</t>
  </si>
  <si>
    <t>Other cost and charge components</t>
  </si>
  <si>
    <t>Incremental transmission cost (ITC)</t>
  </si>
  <si>
    <t>Step change in transmission costs due to connection, including physical works to grid connections, and certain repricing events. Only applicable to certain large connections.</t>
  </si>
  <si>
    <t>ITC not applicable for Scenario 1 variants.</t>
  </si>
  <si>
    <t>Localised historical cost recovery (LHCR)</t>
  </si>
  <si>
    <t>Total contribution paid by connecting party to localised historical cost recovery.</t>
  </si>
  <si>
    <t>Only variant 1g has a LHCR.</t>
  </si>
  <si>
    <t>Operating cost loading (OCL)</t>
  </si>
  <si>
    <t>Addition to distributor's operating costs due to the new connection. Only relevant for large connections.</t>
  </si>
  <si>
    <t>OCL not applicable for Scenario 1 variants.</t>
  </si>
  <si>
    <t>Incremental extension cost associated with generation</t>
  </si>
  <si>
    <t>The cost of any additional components required to support injection requirements at the connection. Does not include the cost of any components already included in the minimum scheme (or minimum flexi scheme) or any other enhancements.</t>
  </si>
  <si>
    <t>Not applicable to Scenario 1 variants because they are load-only connections.</t>
  </si>
  <si>
    <t>Avoided cost of distribution (ACOD)</t>
  </si>
  <si>
    <t>Estimate of any identifiable avoided or avoidable costs of distribution associated with injection. Only applicable to connections with injection.</t>
  </si>
  <si>
    <t>Total cost and charge</t>
  </si>
  <si>
    <t>Total incremental cost</t>
  </si>
  <si>
    <t>Connection charge</t>
  </si>
  <si>
    <t>Type of charge</t>
  </si>
  <si>
    <t>Total pioneer scheme charge</t>
  </si>
  <si>
    <t>Total contribution paid by connecting party to pioneer scheme (if applicable).</t>
  </si>
  <si>
    <t>Only applicable to variant 1f.</t>
  </si>
  <si>
    <t>Connection fees</t>
  </si>
  <si>
    <t>Fees based on the cost of administering the connection process.</t>
  </si>
  <si>
    <t>3. Incremental cost and connection charge for all Scenario 1 variants</t>
  </si>
  <si>
    <t>Incremental cost and connection charge</t>
  </si>
  <si>
    <t>Incremental cost (IC)</t>
  </si>
  <si>
    <t>Equal to the sum of the MS/MFS extension cost (EC), MS/MFS capacity cost (NCC), CSE extension cost, CSE capacity cost, ITC (if applicable), LHCR (if applicable), OCL (if applicable), and incremental extension cost associated with generation (if applicable) less ACOD (if applicable).</t>
  </si>
  <si>
    <t>Connection charge (CC)</t>
  </si>
  <si>
    <t>Equal to the sum of the MS/MFS charge (posted or otherwise), the CSE cost (excluding the capacity cost if capacity costs are not allocated), up-front charge for ITC (if applicable), the LHCR (if applicable), and any charge for the incremental extension cost associated with generation (if applicable), less any reduction in charge due to ACOD (if applicable).</t>
  </si>
  <si>
    <t>Upstream capacity cost allocation</t>
  </si>
  <si>
    <t>Is the customer allocated upstream capacity costs?</t>
  </si>
  <si>
    <t>No</t>
  </si>
  <si>
    <t>Yes</t>
  </si>
  <si>
    <t>If yes, must use posted capacity rates to determine capacity cost (unless criteria for using a modified capacity rate or a share of actual project costs is met).</t>
  </si>
  <si>
    <t>4. Minimum scheme/minimum flexi scheme calculations for all Scenario 1 variants</t>
  </si>
  <si>
    <t>Calculation of minimum scheme/minimum flexi scheme cost</t>
  </si>
  <si>
    <r>
      <t xml:space="preserve">Minimum scheme/minimum flexi scheme </t>
    </r>
    <r>
      <rPr>
        <b/>
        <u/>
        <sz val="11"/>
        <color theme="3"/>
        <rFont val="Aptos Narrow"/>
        <family val="2"/>
        <scheme val="minor"/>
      </rPr>
      <t>extension cost</t>
    </r>
    <r>
      <rPr>
        <b/>
        <sz val="11"/>
        <color theme="3"/>
        <rFont val="Aptos Narrow"/>
        <family val="2"/>
        <scheme val="minor"/>
      </rPr>
      <t xml:space="preserve"> (EC) calculation</t>
    </r>
  </si>
  <si>
    <t>Minimum flexi scheme only needs to be costed if customer requests minimum flexi scheme. If minimum flexi scheme is not requested then minimum flexi scheme cost components are shaded dark grey (as not applicable).</t>
  </si>
  <si>
    <t>Components of minimum scheme cost</t>
  </si>
  <si>
    <t>~400 V LV Overhead line</t>
  </si>
  <si>
    <t xml:space="preserve">$15/m - 95mm2 Al  Fluorine AAAC (or similar). All lengths assumed to be 20 m per phase or neutral. </t>
  </si>
  <si>
    <t>~400 V Pole / Cross Arm</t>
  </si>
  <si>
    <t>The cost is inclusive of a fully dressed pole and cable termination equipment.</t>
  </si>
  <si>
    <t>~400 V Single Phase Pole Fuse</t>
  </si>
  <si>
    <t>Single Phase 63 A Fuse.</t>
  </si>
  <si>
    <t>Install Costs</t>
  </si>
  <si>
    <t xml:space="preserve">Variant 1a to 1c equals 3 people for 4 hours at $100/hour. Variant 1c is for the install of a second phase to an existing single phase connection - have assumed there would be some savings in install time (as there is an existing connection). Variant 1e to 1g assumes install costs are 15% of other components. </t>
  </si>
  <si>
    <t>Total minimum scheme cost</t>
  </si>
  <si>
    <t>Components of minimum flexi scheme cost</t>
  </si>
  <si>
    <t xml:space="preserve"> </t>
  </si>
  <si>
    <t>Total minimum flexi scheme cost</t>
  </si>
  <si>
    <r>
      <t xml:space="preserve">Minimum scheme/minimum flexi scheme </t>
    </r>
    <r>
      <rPr>
        <b/>
        <u/>
        <sz val="11"/>
        <color theme="3"/>
        <rFont val="Aptos Narrow"/>
        <family val="2"/>
        <scheme val="minor"/>
      </rPr>
      <t>capacity cost</t>
    </r>
    <r>
      <rPr>
        <b/>
        <sz val="11"/>
        <color theme="3"/>
        <rFont val="Aptos Narrow"/>
        <family val="2"/>
        <scheme val="minor"/>
      </rPr>
      <t xml:space="preserve"> (NCC) calculation</t>
    </r>
  </si>
  <si>
    <t>Network costing zone</t>
  </si>
  <si>
    <t>zone</t>
  </si>
  <si>
    <t>Urban</t>
  </si>
  <si>
    <t>Rural A</t>
  </si>
  <si>
    <t>Distributor may segment their network into network costing zones.</t>
  </si>
  <si>
    <t>Capacity cost</t>
  </si>
  <si>
    <t>Low voltage mains (LV)</t>
  </si>
  <si>
    <t>$/kVA</t>
  </si>
  <si>
    <t>Capacity costs (by network tier) are pulled from the 'Network costing zones' tab. A distributor can set a posted capacity rate to zero (for any tier) where there is no foreseeable upgrade needed.</t>
  </si>
  <si>
    <t>Distribution substation (DS)</t>
  </si>
  <si>
    <t>High voltage feeder (HVF)</t>
  </si>
  <si>
    <t>Zone substation (ZS)</t>
  </si>
  <si>
    <t>Sub-transmission line (STL)</t>
  </si>
  <si>
    <t>Capacity demand - minimum scheme/minimum flexi scheme</t>
  </si>
  <si>
    <t>kVA</t>
  </si>
  <si>
    <t>Demand assumptions allow for diversity. Demand for variant 1d is just the incremental demand (for the second phase) so is equal to the incremental demand for the CSE in variants 1c and 1d.</t>
  </si>
  <si>
    <t>Calculation of upstream capacity cost - minimum scheme/minimum flexi scheme</t>
  </si>
  <si>
    <t>The capacity cost for a tier (if the tier is required by the connection) is the posted capacity rate multiplied by the capacity demand for the relevant tier. Estimated capacity upgrade costs or estimated capacity rates can be used when specific criteria are met, but the variants in Scenario 1 do not meet these criteria (see variant 2a for an example of these criteria applying).</t>
  </si>
  <si>
    <t>Total upstream capacity cost (minimum scheme/minimum flexi scheme only)</t>
  </si>
  <si>
    <t>Minimum scheme/minimum flexi scheme charge</t>
  </si>
  <si>
    <t>What is the connection charge for the minimum scheme/minimum flexi scheme?</t>
  </si>
  <si>
    <t>Either applied to minimum scheme or minimum flexi scheme (whichever is relevant). Variants 1a-1c meet the distributor's requirements for their residential posted charge of $1,330. For variant 1d, the distributor's connection pricing methodology sets out that they will allocate the full cost (including network capacity cost) for connection of a second phase.  For variants 1e-1g, the distributor sets connection charges by crediting up to 65% of incremental revenue toward meeting incremental costs. Incremental revenue is calculated in the 'Reconciliation model' spreadsheet.</t>
  </si>
  <si>
    <t>5. Customer-selected enhancement calculations for all Scenario 1 variants</t>
  </si>
  <si>
    <r>
      <t xml:space="preserve">Customer-selected enhancement </t>
    </r>
    <r>
      <rPr>
        <b/>
        <u/>
        <sz val="11"/>
        <color theme="3"/>
        <rFont val="Aptos Narrow"/>
        <family val="2"/>
        <scheme val="minor"/>
      </rPr>
      <t>extension</t>
    </r>
    <r>
      <rPr>
        <b/>
        <sz val="11"/>
        <color theme="3"/>
        <rFont val="Aptos Narrow"/>
        <family val="2"/>
        <scheme val="minor"/>
      </rPr>
      <t xml:space="preserve"> component</t>
    </r>
  </si>
  <si>
    <t>Components of CSE extension cost</t>
  </si>
  <si>
    <t>$15/m - 95mm2 Al  Fluorine AAAC (or similar). All lengths assumed to be 20 m per phase or neutral</t>
  </si>
  <si>
    <t>~400 V 2-Phase Pole Fuse</t>
  </si>
  <si>
    <t>63 A, 2ph fuse</t>
  </si>
  <si>
    <t>Have assumed 3 people for 2 hours each (at $100 per hour) to install a second phase (in addition to the time required to install the first phase).</t>
  </si>
  <si>
    <t>Total CSE extension cost</t>
  </si>
  <si>
    <r>
      <t xml:space="preserve">Customer-selected enhancement </t>
    </r>
    <r>
      <rPr>
        <b/>
        <u/>
        <sz val="11"/>
        <color theme="3"/>
        <rFont val="Aptos Narrow"/>
        <family val="2"/>
        <scheme val="minor"/>
      </rPr>
      <t>capacity cost</t>
    </r>
    <r>
      <rPr>
        <b/>
        <sz val="11"/>
        <color theme="3"/>
        <rFont val="Aptos Narrow"/>
        <family val="2"/>
        <scheme val="minor"/>
      </rPr>
      <t xml:space="preserve"> component</t>
    </r>
  </si>
  <si>
    <t>Same network costing zones as used for minimum scheme/minimum flexi scheme above.</t>
  </si>
  <si>
    <t>Capacity demand - customer-selected enhancement</t>
  </si>
  <si>
    <t>Demand assumptions allow for diversity. This is the incremental demand for the customer-selected enhancement (ie, over-and-above the demand under the minimum scheme or minimum flexi scheme).</t>
  </si>
  <si>
    <t>Calculation of upstream capacity cost - CSE</t>
  </si>
  <si>
    <t>The capacity cost allocation for a tier (if the tier is required by the connection) is the posted capacity rate multiplied by the incremental capacity demand for the relevant tier for the customer-selected enhancment.</t>
  </si>
  <si>
    <t>Total upstream capacity cost - CSE</t>
  </si>
  <si>
    <t>6. Other cost and charge calculations for all Scenario 1 variants</t>
  </si>
  <si>
    <t>Calculated in '1g. Local hist cost recovery' tab for variant 1g (the only variant with a localised historical cost recovery scheme).</t>
  </si>
  <si>
    <t>Pioneer scheme charge</t>
  </si>
  <si>
    <t>Note: is not part of the connection charge</t>
  </si>
  <si>
    <t>Total contribution paid by connecting party to pioneer scheme.</t>
  </si>
  <si>
    <t>Calculated in '1f. Pioneer scheme' tab for variant 1f (the only variant with an active pioneer scheme).</t>
  </si>
  <si>
    <t>Note: is not part of the connection charge and excludes any adminstration fee for a pioneer scheme</t>
  </si>
  <si>
    <t>Type of fee</t>
  </si>
  <si>
    <t>Application processing</t>
  </si>
  <si>
    <t>Application processing fee based on the costs of administering the connection process.</t>
  </si>
  <si>
    <t>We have based on fees in Part 6 of the Code, but this is not a requirement.</t>
  </si>
  <si>
    <t>Technical observation</t>
  </si>
  <si>
    <t>Technical observation fee based on the csots of adminisering the connection process.</t>
  </si>
  <si>
    <t>Total fees</t>
  </si>
  <si>
    <t>Customer connection charge calculation for remote mid-sized connection variants (Scenario 2)</t>
  </si>
  <si>
    <t>The spreadsheet calculates the incremental cost and customer connection charge for the remote mid-sized connection (Scenario 2) variants in the Electricity Authority's distribution connnection pricing worked examples. It illustrates how a distributor allocates costs to the connection customer under the Authority's fast-tracked changes. Some data from this spreadsheet feeds into the 'Reconciliation model' spreadsheet.</t>
  </si>
  <si>
    <t>- This sheet is split into six sections, which are numbered 1-6 below. 
- Section 1 lists the variants in Scenario 2, section 2 presents the cost and charge build up for a selected variant, section 3 provides the incremental cost and connection charge for all variants, and sections 4-6 include the inputs and calculations for each of the components of the cost and charge build up (minimum scheme/minimum flexi scheme, customer-selected enhancement, and other costs and charges).
- User should select the variant they're interested in (in the cell 'Sc2_variant' in section 1) to view the cost and charge build up for that variant in section 2.
- The sheet relies on inputs from the 'Network costing zones' tab, as well as the accompanying 'Reconciliation model' spreadsheet.</t>
  </si>
  <si>
    <t>This section shows the build up of costs and charges for the variant selected in the 'Sc2_variant' cell above. First it shows the incremental cost and connection charge build up and then it shows other charges (eg, pioneer scheme charges and connection fees) that are not part of the connection charge.</t>
  </si>
  <si>
    <t>Variant 2a is based on the minimum scheme, while variant 2b is based on the minimum flexi scheme.</t>
  </si>
  <si>
    <t>Full cost of CSE must be passed on to customer. Not applicable to Scenario 2 variants.</t>
  </si>
  <si>
    <t>ITC not applicable to Scenario 2 variants.</t>
  </si>
  <si>
    <t>LHRC not applicable to Scenario 2 variants.</t>
  </si>
  <si>
    <t>OCL not applicable to Scenario 2 variants.</t>
  </si>
  <si>
    <t>The cost of any additional components required to support injection requirements at the connection.Does not include the cost of any components already included in the minimum scheme (or minimum flexi scheme) or any other enhancements.</t>
  </si>
  <si>
    <t>Not applicable to Scenario 2 variants because they are load-only connections.</t>
  </si>
  <si>
    <t>Not applicable to Scenario 2 variants.</t>
  </si>
  <si>
    <t>3. Incremental cost and connection charge for all Scenario 2 variants</t>
  </si>
  <si>
    <t>4. Minimum scheme/minimum flexi scheme calculations for all Scenario 2 variants</t>
  </si>
  <si>
    <t>Pole Mounted Dist Transformer</t>
  </si>
  <si>
    <t>$15/m - 95mm2 Al  Fluorine AAAC (or similar)  (inc install). Assumed 20 m * 4</t>
  </si>
  <si>
    <t>400 V Switchboard</t>
  </si>
  <si>
    <t>400 V Switchboard, assumed to be the price of a Service Pillar</t>
  </si>
  <si>
    <t>1x 11 kV Comms Panel</t>
  </si>
  <si>
    <t>Price including fibre connection between the two sites.</t>
  </si>
  <si>
    <t>Not required</t>
  </si>
  <si>
    <t>$15/m - 95mm2 Al ABC / Fluorine AAAC (or similar)  (inc install). Assumed 20 m * 4</t>
  </si>
  <si>
    <t>Labour Costs</t>
  </si>
  <si>
    <t>Rural B</t>
  </si>
  <si>
    <t xml:space="preserve">Demand assumptions allow for diversity. </t>
  </si>
  <si>
    <t>Can estimated capacity upgrade costs be used</t>
  </si>
  <si>
    <t>Is the demand increment from the project more than 80% of the nominal capacity increment for:</t>
  </si>
  <si>
    <t>the high voltage feeder (HVF) tier?</t>
  </si>
  <si>
    <t>If yes, can use estimated capacity upgrade costs for the HVF tier instead of the posted capacity rate.</t>
  </si>
  <si>
    <t>the zone substation (ZS) tier?</t>
  </si>
  <si>
    <t>If yes, can use estimated capacity upgrade costs for the ZS tier instead of the posted capacity rate.</t>
  </si>
  <si>
    <t>the sub-transmission line (STL) tier?</t>
  </si>
  <si>
    <t>If yes, can use estimated capacity upgrade costs for the STL tier instead of the posted capacity rate.</t>
  </si>
  <si>
    <t>If yes, what is the estimated capacity upgrade costs?</t>
  </si>
  <si>
    <t>Can modified capacity rates be used</t>
  </si>
  <si>
    <t>Is the cost per unit of the upgrade project estimated to be more than 150%, or lower than 80%, of the applicable posted capacity rate for:</t>
  </si>
  <si>
    <t>N/A if estimated capacity upgrade costs can be used (see above) or if there is no capacity demand at that tier. If yes, can use estimated capacity rate rather than posted capacity rate.</t>
  </si>
  <si>
    <t>If yes, what is the estimated cost per unit relative to the posted rate for:</t>
  </si>
  <si>
    <t>%</t>
  </si>
  <si>
    <t>Needs to be greater than 150% (if cost per unit is higher than average) or less than 80% (if cost per unit is lower than average). Cell will be dark grey if not applicable (when the cost per unit of the upgrade project is between 80% and 150% of the applicable posted capacity rate OR if estimated capacity upgrade costs can be used).</t>
  </si>
  <si>
    <t>5. Customer-selected enhancement calculations for all Scenario 2 variants</t>
  </si>
  <si>
    <t>6. Other cost and charge calculations for all Scenario 2 variants</t>
  </si>
  <si>
    <t>Customer connection charge calculation for large connection variants (Scenario 3)</t>
  </si>
  <si>
    <t>The spreadsheet calculates the incremental cost and customer connection charge for the large connection (Scenario 3) variants in the Electricity Authority's distribution connnection pricing worked examples. It illustrates how a distributor allocates costs to the connection customer under the Authority's fast-tracked changes. Some data from this spreadsheet feeds into the 'Reconciliation model' spreadsheet.</t>
  </si>
  <si>
    <t>- This sheet is split into six sections, which are numbered 1-6 below. 
- Section 1 lists the variants in Scenario 3, section 2 presents the cost and charge build up for a selected variant, section 3 provides the incremental cost and connection charge for all variants, and sections 4-6 include the inputs and calculations for each of the components of the cost and charge build up (minimum scheme/minimum flexi scheme, customer-selected enhancement, and other costs and charges).
- User should select the variant they're interested in (in the cell 'Sc3_variant' in section 1) to view the cost and charge build up for that variant in section 2.
- The sheet relies on inputs from the 'Network costing zones' tab, as well as the accompanying 'Reconciliation model' spreadsheet.</t>
  </si>
  <si>
    <t>Large connection at zone substation level with special pricing that involves GXP work (includes incremental transmission costs)</t>
  </si>
  <si>
    <t>Variant 3a</t>
  </si>
  <si>
    <t>This section shows the build up of costs and charges for the variant selected in the 'Sc3_variant' cell above. First it shows the incremental cost and connection charge build up and then it shows other charges (eg, pioneer scheme charges and connection fees) that are not part of the connection charge.</t>
  </si>
  <si>
    <t>All of the Scenario 3 variants are based on the minimum scheme (not the minimum flexi scheme).</t>
  </si>
  <si>
    <t>The new pricing requirements do not impose any direct constraints on the level of the MS/MFS charge. For Scenario 3 variants we have assumed that the distributor and connection applicant agree to recover all up-front costs through up-front connection charges.</t>
  </si>
  <si>
    <t>Full cost of CSE must be passed on to customer. Not applicable to Scenario 3 variants.</t>
  </si>
  <si>
    <t xml:space="preserve">ITC only applicable to variant 3b. We have assumed that the (present value of) the cost of GXP works ($239k for variant 3b) is recovered through the connection charge and (the present value) of pricing-related ITC (the remainder of the ITC) is recovered through annual charges. See '3b. ITC calcs' tab for ITC calculations. </t>
  </si>
  <si>
    <t>LHRC not applicable to Scenario 3 variants.</t>
  </si>
  <si>
    <t xml:space="preserve">For Scenario 3 variants, we have assumed that the distributor estimates an operating cost equivalent to 5% of the up-front extension asset cost each year. Sums the NPV of annual opex for the connection for all years in the revenue life. OCL is calculated in the 'Reconciliation model' spreadsheet. 	</t>
  </si>
  <si>
    <t>Only applicable to variants 3c and 3d (because 3a and 3b do not have injection). However, estimated to be zero for variant 3c because no additional components are required to support injection.</t>
  </si>
  <si>
    <t>Only applicable to variants 3c and 3d (because 3a and 3b do not have injection). However, estimated to be zero for variant 3d. Has been estimated using capacity costing rates, but this is not a required approach.</t>
  </si>
  <si>
    <t>Not applicable to Scenario 3 variants.</t>
  </si>
  <si>
    <t>3. Incremental cost and connection charge for all Scenario 3 variants</t>
  </si>
  <si>
    <t>4. Minimum scheme/minimum flexi scheme calculations for all Scenario 3 variants</t>
  </si>
  <si>
    <t>11 kV Switchgear</t>
  </si>
  <si>
    <t>Schneider GHA switchgear 11 kV</t>
  </si>
  <si>
    <t>11 kV Cable</t>
  </si>
  <si>
    <t>$140/m  300mm2 3c AL XPLE. Assumed 50 m for variant 3a-3d 50 x 2 for 3e</t>
  </si>
  <si>
    <t>RMU</t>
  </si>
  <si>
    <t xml:space="preserve">RMU from ABB </t>
  </si>
  <si>
    <t xml:space="preserve">11/33 kV Transformer </t>
  </si>
  <si>
    <t>15 MVA 33/11 kV Ground Transformer</t>
  </si>
  <si>
    <t>33 kV Feeder Overhead Line</t>
  </si>
  <si>
    <t>$35/m including installs (Simplex sulfur AAAC conductor). Assumed 3 kms * 3 phase</t>
  </si>
  <si>
    <t>33 kV Pole/Cross Arm</t>
  </si>
  <si>
    <t>1 pole per 500 m. $14400/pole * 6. The cost is inclusive of a fully dressed pole and cable termination equipment.</t>
  </si>
  <si>
    <t>33 kV Switchgear</t>
  </si>
  <si>
    <t xml:space="preserve">Schneider GHA switchgear 33 kV (2 panels). </t>
  </si>
  <si>
    <t>N/A</t>
  </si>
  <si>
    <t>The capacity cost for a tier (if the tier is required by the connection) is the posted capacity rate multiplied by the capacity demand for the relevant tier. Estimated capacity upgrade costs or estimated capacity rates can be used when specific criteria are met, but the variants in Scenario 3 do not meet these criteria (see variant 2a for an example of these criteria applying).</t>
  </si>
  <si>
    <t>Either applied to minimum scheme or minimum flexi scheme (whichever is relevant). For Scenario 3 variants we have assumed that the distributor and connection applicant agree to recover all up-front costs through up-front connection charges.</t>
  </si>
  <si>
    <t>5. Customer-selected enhancement calculations for all Scenario 3 variants</t>
  </si>
  <si>
    <t>6. Other cost and charge calculations for all Scenario 3 variants</t>
  </si>
  <si>
    <t>Total incremental transmission cost (ITC)</t>
  </si>
  <si>
    <t xml:space="preserve">ITC only applicable to variant 3b. See '3b. ITC calcs' tab for ITC calculations. </t>
  </si>
  <si>
    <t>Incremental transmission cost recovered through connection charge</t>
  </si>
  <si>
    <t>The portion of ITC recovered through the connection charge. The remainder of ITC is recovered through ongoing charges.</t>
  </si>
  <si>
    <t>Operating cost loading</t>
  </si>
  <si>
    <t xml:space="preserve">For Scenario 3 variants, we have assumed that the distributor estimates an operating cost equivalent to 5% of the up-front extension asset cost each year. Sums the NPV of annual opex for the connection for all years in the revenue life. OCL is calculated in the 'Reconciliation model' spreadsheet. 						</t>
  </si>
  <si>
    <t>Injection costs and benefits</t>
  </si>
  <si>
    <t>Will the connection include generation?</t>
  </si>
  <si>
    <t>Incremental cost associated with generation</t>
  </si>
  <si>
    <t>Note: the components listed here are any additional components required to support injection requirements at the connection. Does not include components required for minimum scheme (or minimum flexi scheme) and other enhancements.</t>
  </si>
  <si>
    <t>Incremental components required for injection</t>
  </si>
  <si>
    <t>Protection Panel</t>
  </si>
  <si>
    <t>Price including fibre connection between the two sites.Not required for variant 3c because only a small injection.</t>
  </si>
  <si>
    <t>Total incremental costs associated with generation</t>
  </si>
  <si>
    <t>Same network costing zones as used for minimum scheme/minimum flexi scheme and customer-selected enhancement above.</t>
  </si>
  <si>
    <t>Injection</t>
  </si>
  <si>
    <t>Variant 3d is not expected to provide any avoided capacity cost benefits at ZS or STL tier.</t>
  </si>
  <si>
    <t>Calculation of avoided cost of distribution (ACOD)</t>
  </si>
  <si>
    <t>Total avoided cost of distribution (ACOD)</t>
  </si>
  <si>
    <t>Pioneer scheme calculations</t>
  </si>
  <si>
    <t>Variant 1f pioneer scheme</t>
  </si>
  <si>
    <t xml:space="preserve">Note that connection party 4 is the connecting party for the purposes of variant 1f. For simplicity, the calculations below assume that the pioneer scheme is set up in December 2025 and CPI inflation is 2% every year. This technically means that connection party 4 connects in December 2030 (5 years after the pioneer scheme is set up) - this is inconsistent with assumptions we make elsewhere (largely in the reconciliation spreadsheet) where we assume the connection occurs in the year ending 31 March 2026. However, this sheet is just intended to show how pioneer scheme calculations could be made (noting a distributor has some flexibility in determining how pioneer contributions are calcuated) and the numbers are illustrative. The only numbers from this sheet that feed into the worked example calculations for variant 1f in the '1. small connection' tab are the contribution paid by connection party 4 and the administration fee. </t>
  </si>
  <si>
    <t>Pioneer scheme information</t>
  </si>
  <si>
    <t>Pioneer scheme set-up information</t>
  </si>
  <si>
    <t>Value</t>
  </si>
  <si>
    <t>Opening value</t>
  </si>
  <si>
    <t>Value of the pioneer’s contribution to the cost of the pioneering connection works.</t>
  </si>
  <si>
    <t>Scheme duration</t>
  </si>
  <si>
    <t>years</t>
  </si>
  <si>
    <t>Default value. Must not be less than 7 years.</t>
  </si>
  <si>
    <t>Depreciation duration</t>
  </si>
  <si>
    <t>Required duration set in Code.</t>
  </si>
  <si>
    <t>Total length</t>
  </si>
  <si>
    <t>m</t>
  </si>
  <si>
    <t>Length of LV mains funded by the pioneer.</t>
  </si>
  <si>
    <t>Thresholds</t>
  </si>
  <si>
    <t>Threshold to require contribution (after deducting fee)</t>
  </si>
  <si>
    <t>A pioneer scheme contribution must not be collected if the contribution would be less than this threshold in December 2025 dollars after deducting any fee to cover the reasonable costs of administering the scheme. Adjusted each year by CPI movement.</t>
  </si>
  <si>
    <t xml:space="preserve">Threshold set in Code. </t>
  </si>
  <si>
    <t>Threshold to be a pioneer</t>
  </si>
  <si>
    <t>Any connection applicant who subsequently connects to a pioneering connection works is a subsequent pioneer if they make a pioneer scheme contribution of more than this threshold in December 2025 dollar terms. Adjusted each year by CPI movement.</t>
  </si>
  <si>
    <t>Threshold set in Code. Subsequent pioneers are paid a share of any subsequent pioneer scheme contributions collected (after any fee to cover costs of administering the scheme are deducted).</t>
  </si>
  <si>
    <t>Fee</t>
  </si>
  <si>
    <t>Administration fee</t>
  </si>
  <si>
    <t>Deducted from any contribution to the pioneer scheme before the contribution is distributed among existing pioneers.</t>
  </si>
  <si>
    <t>Inflation adjustment</t>
  </si>
  <si>
    <t>CPI inflation</t>
  </si>
  <si>
    <t>Inflation rate used to adjust values to December 2025 dollars.</t>
  </si>
  <si>
    <t>Have assumed CPI inflation is 2% in all years for simplicity.</t>
  </si>
  <si>
    <t>Calcuation of contributions</t>
  </si>
  <si>
    <t>Connection party 4 is the connection party for the purposes of variant 1f.</t>
  </si>
  <si>
    <t>Connection party 1 
= first pioneer</t>
  </si>
  <si>
    <t>Connection party 2</t>
  </si>
  <si>
    <t>Connection party 3</t>
  </si>
  <si>
    <t>Connection party 4</t>
  </si>
  <si>
    <t>Years since opening</t>
  </si>
  <si>
    <t>Years</t>
  </si>
  <si>
    <t>Current value of pioneer scheme</t>
  </si>
  <si>
    <t>Opening value depreciated by 5% per annum (20 year depreciation duration with straight line depreciation).</t>
  </si>
  <si>
    <t>Distance</t>
  </si>
  <si>
    <t>km</t>
  </si>
  <si>
    <t>Distance of the connection along the length of the extension.</t>
  </si>
  <si>
    <t>Maximum value is 6km (for this example) because the total length of the extension is 6km.</t>
  </si>
  <si>
    <t>Distance ratio</t>
  </si>
  <si>
    <t>Distance of the connection along the length of the extension relative to the total length of the extension.</t>
  </si>
  <si>
    <t>Capacity demand</t>
  </si>
  <si>
    <t>Capacity demand at LV tier.</t>
  </si>
  <si>
    <t>Capacity ratio</t>
  </si>
  <si>
    <t>Capacity demand of connection relative to demand of all connections.</t>
  </si>
  <si>
    <t>Contribution</t>
  </si>
  <si>
    <t xml:space="preserve">Contribution to the pioneer scheme by the connection. Distributor must take into account shares of extension length and capacity of the pioneer scheme when determining a contribution. </t>
  </si>
  <si>
    <r>
      <t xml:space="preserve">Code does not define how share of extension length and capacity must be taken into account. We have assumed that a contribution is calculated as: </t>
    </r>
    <r>
      <rPr>
        <i/>
        <sz val="10"/>
        <color theme="1"/>
        <rFont val="Aptos Narrow"/>
        <family val="2"/>
        <scheme val="minor"/>
      </rPr>
      <t>current value</t>
    </r>
    <r>
      <rPr>
        <sz val="10"/>
        <color theme="1"/>
        <rFont val="Aptos Narrow"/>
        <family val="2"/>
        <scheme val="minor"/>
      </rPr>
      <t xml:space="preserve"> x </t>
    </r>
    <r>
      <rPr>
        <i/>
        <sz val="10"/>
        <color theme="1"/>
        <rFont val="Aptos Narrow"/>
        <family val="2"/>
        <scheme val="minor"/>
      </rPr>
      <t>distance ratio</t>
    </r>
    <r>
      <rPr>
        <sz val="10"/>
        <color theme="1"/>
        <rFont val="Aptos Narrow"/>
        <family val="2"/>
        <scheme val="minor"/>
      </rPr>
      <t xml:space="preserve"> x </t>
    </r>
    <r>
      <rPr>
        <i/>
        <sz val="10"/>
        <color theme="1"/>
        <rFont val="Aptos Narrow"/>
        <family val="2"/>
        <scheme val="minor"/>
      </rPr>
      <t>capacity ratio</t>
    </r>
    <r>
      <rPr>
        <sz val="10"/>
        <color theme="1"/>
        <rFont val="Aptos Narrow"/>
        <family val="2"/>
        <scheme val="minor"/>
      </rPr>
      <t>.</t>
    </r>
  </si>
  <si>
    <t>Threshold to require contribution (before deducting fee)</t>
  </si>
  <si>
    <t>Equal to threshold set in Code plus administration fee, adjusted each year by CPI movement.</t>
  </si>
  <si>
    <t>Is the connecting party required to make a contribution?</t>
  </si>
  <si>
    <t>Connection party is required to make a contribution if the contribution would be greater than the threshold set in the Code plus any fee charged to cover reasonable costs of administering the scheme.</t>
  </si>
  <si>
    <t>Equal to threshold set in Code , adjusted each year by CPI movement.</t>
  </si>
  <si>
    <t>Is the connecting party a pioneer?</t>
  </si>
  <si>
    <t>Connection parties 3 and 4 are not pioneers (as their contribution is less than the threshold) and therefore won't receive a share of any contributions paid by subsequent connection parties.</t>
  </si>
  <si>
    <t>Distribution of contributions</t>
  </si>
  <si>
    <t>First party connects</t>
  </si>
  <si>
    <t>Sum</t>
  </si>
  <si>
    <t>Opening contribution</t>
  </si>
  <si>
    <t>Opening contribution paid by first pioneer.</t>
  </si>
  <si>
    <t>Second party connects</t>
  </si>
  <si>
    <t>Contribution paid by connection party  2</t>
  </si>
  <si>
    <t>Connection party 2's contribution</t>
  </si>
  <si>
    <t>Rebate to pioneers</t>
  </si>
  <si>
    <t>The first pioneer is paid connection party 2's contribution less the administration fee.</t>
  </si>
  <si>
    <t>Balance of pioneer(s) contribution</t>
  </si>
  <si>
    <t>The contribution that each pioneer has made to the costs of the pioneering connection works.</t>
  </si>
  <si>
    <t>Third party connects</t>
  </si>
  <si>
    <t>Contribution paid by connection party  3</t>
  </si>
  <si>
    <t>Connection party 3's contribution</t>
  </si>
  <si>
    <t>The first pioneer and connection party 2 (also a pioneer) are paid shares of connection party 3's contribution less the administration fee. Distributed in proportion to balances.</t>
  </si>
  <si>
    <t>Equal to zero for connection party 3 because they are not a pioneer.</t>
  </si>
  <si>
    <t>Fourth party connects</t>
  </si>
  <si>
    <t>Contribution paid by connection party  4</t>
  </si>
  <si>
    <t>Connection party 4's contribution</t>
  </si>
  <si>
    <t>The first pioneer and connection party 2 (also a pioneer) are paid shares of connection party 4's contribution less the administration fee. Distributed in proportion to balances. Connection party 3 is not paid a share of the contribution as they did not met the threshold to be a pioneer.</t>
  </si>
  <si>
    <t>Equal to zero for connection parties 3 and 4 because they are not pioneers.</t>
  </si>
  <si>
    <t>Share of contributions by pioneers</t>
  </si>
  <si>
    <t>Localised historical cost recovery calculations</t>
  </si>
  <si>
    <t>Variant 1g localised historical cost recovery</t>
  </si>
  <si>
    <t>Localised historical cost recovery information</t>
  </si>
  <si>
    <t>Localised historical cost recovery set-up information</t>
  </si>
  <si>
    <t>Original cost</t>
  </si>
  <si>
    <t>Cost of the original network development.</t>
  </si>
  <si>
    <t>Number of connections</t>
  </si>
  <si>
    <t>#</t>
  </si>
  <si>
    <t>Number of connections required to paid a contribution to the localised historical cost recovery.</t>
  </si>
  <si>
    <t>Allocation per connection</t>
  </si>
  <si>
    <t>Value of contribution required from each connection party. Equal to original cost divided by number of connections. Allocation will be adjusted by CPI movement.</t>
  </si>
  <si>
    <t>Connection party 1 is the connection party for the purposes of variant 1g.</t>
  </si>
  <si>
    <t xml:space="preserve">Connection party 1 </t>
  </si>
  <si>
    <t>Connection party 5</t>
  </si>
  <si>
    <t>Connection party 6</t>
  </si>
  <si>
    <t>Connection party 7</t>
  </si>
  <si>
    <t>Party</t>
  </si>
  <si>
    <t>Year of connection</t>
  </si>
  <si>
    <t>Year</t>
  </si>
  <si>
    <t>Contribution by each connection party to the original cost (adjusted for CPI inflation).</t>
  </si>
  <si>
    <t>Connection party 7 is not required to make a contribution because the local historical cost recovery was set up to recover the original cost from only the first six connecting parties.</t>
  </si>
  <si>
    <t>Incremental transmission cost calculations for variant 3b</t>
  </si>
  <si>
    <t>key:</t>
  </si>
  <si>
    <t>Calculation of ITC for variant 3b</t>
  </si>
  <si>
    <t>Pricing year</t>
  </si>
  <si>
    <t>year</t>
  </si>
  <si>
    <t>Year starting 1 April.</t>
  </si>
  <si>
    <t>Discount factor</t>
  </si>
  <si>
    <t>Discount factor to adjust revenue to present value.</t>
  </si>
  <si>
    <t>Discount factor is the same for all variants and for both distribution and transmission revenue.</t>
  </si>
  <si>
    <t>Transmission revenue adjustment factor (real)</t>
  </si>
  <si>
    <t>Used to adjust first-year transmission revenue figure for overall movements in target revenue (which, all things being equal, will flow into lines charges).</t>
  </si>
  <si>
    <t xml:space="preserve">Have assumed the connection is livened and starts to produce transmission revenue sometime during the 12-month period starting 1 April 2025.Based on Wellington Electricity figures. Needs to be updated annually. </t>
  </si>
  <si>
    <t>Cost of GXP works</t>
  </si>
  <si>
    <t>Connection charge uplift</t>
  </si>
  <si>
    <t>Benefit-based charge adjustment</t>
  </si>
  <si>
    <t xml:space="preserve">Step change in cost allocation </t>
  </si>
  <si>
    <t>Adjusted incremental transmission cost (PV)</t>
  </si>
  <si>
    <t>Variant 3b</t>
  </si>
  <si>
    <t>Source</t>
  </si>
  <si>
    <t>Assumption</t>
  </si>
  <si>
    <t>Calculation of ITC recovered through connection charge</t>
  </si>
  <si>
    <t>GXP works (PV)</t>
  </si>
  <si>
    <t>Calculation of ITC recovered through incremental revenue</t>
  </si>
  <si>
    <t>Incremental transmission costs recovered through annual charges (PV)</t>
  </si>
  <si>
    <t>Total incremental transmission costs recovered through annual charges (PV)</t>
  </si>
  <si>
    <t>Unit capacity costs by network costing zone</t>
  </si>
  <si>
    <t>Unit capacity cost - LV</t>
  </si>
  <si>
    <t>Unit cost for incremental low voltage mains (LV) capacity</t>
  </si>
  <si>
    <t>Capacity costs are based on rates in Network Capacity Rates Guidance. Urban rates are close to the averages of 'Auckland Urban' and 'Northern Urban' rates. Rural rates (A and B) are close to the 'Rural' rates in the guidance, but we have zero-rated capacity for rural LV mains and distributions substations in 'Rural A' to reflect these components having sufficient capacity that the distributor thinks they are unlikely to run out of capacity within their network planning horizon.</t>
  </si>
  <si>
    <t>Unit capacity cost - DS</t>
  </si>
  <si>
    <t>Unit cost for incremental distribution substation (DS) capacity</t>
  </si>
  <si>
    <t>Unit capacity cost - HVF</t>
  </si>
  <si>
    <t>Unit cost for incremental high voltage feeder (HVF) capacity</t>
  </si>
  <si>
    <t>Unit capacity cost - ZS</t>
  </si>
  <si>
    <t>Unit cost for incremental zone substation (ZS) capacity</t>
  </si>
  <si>
    <t>Unit capacity cost - STL</t>
  </si>
  <si>
    <t>Unit cost for incremental sub-transmission line (STL) capacity</t>
  </si>
  <si>
    <t xml:space="preserve">List for data validation </t>
  </si>
  <si>
    <t>Discount rate calculation</t>
  </si>
  <si>
    <t>Mid-point vanilla WACC for EDBs</t>
  </si>
  <si>
    <t>Forecast annual CPI inflation for year to 1 June</t>
  </si>
  <si>
    <t>Discount rate real</t>
  </si>
  <si>
    <t>Most recently available mid-point estimate of vanilla WACC (weighted average cost of capital) made by the Commerce Commission.</t>
  </si>
  <si>
    <t>Inflation projection for the year ahead from the most recent Monetary Policy Statement (MPS) published by the Reserve Bank of New Zealand.</t>
  </si>
  <si>
    <t>Used to make compounding downward adjustments to revenue from future years. Is equal to the most recently available mid-point estimate of vanilla WACC less an adjustment to remove inflation.</t>
  </si>
  <si>
    <t>Mid-point vanilla WACC for EDBs from May 2025 determination.</t>
  </si>
  <si>
    <t>Forecast annual CPI inflation from the May 2025 MPS for the year to 1 June 2026.</t>
  </si>
  <si>
    <t>Needs to be updated annually. Is not distributor-specific.</t>
  </si>
  <si>
    <t>Ground Mounted Dist Transformer</t>
  </si>
  <si>
    <t>Variant 2a</t>
  </si>
  <si>
    <t>The capacity cost for a tier (if the tier is required by the connection) is the posted capacity rate multiplied by the capacity demand for the relevant tier. Estimated capacity upgrade costs or estimated capacity rates can be used when specific criteria are met (see variant 2a for an example of these criteria applying).</t>
  </si>
  <si>
    <t>Either applied to minimum scheme or minimum flexi scheme (whichever is relevant). For both variants the distributor sets connection charges by crediting up to 15% of incremental revenue toward meeting incremental costs.</t>
  </si>
  <si>
    <t>The new pricing requirements do not impose any direct constraints on the level of the MS/MFS charge. For Scenario 2 we have assumed that the distributor's connection pricing methodology puts up to 18% of incremental revenue toward covering incremental costs. Incremental revenue is about $184k for variants 2a and 2b, so the connection charge can be up to $32,730 lower than the incremental cost. We have assumed the connection charge is $32,730 lower than the incremental cost for varaints 2a and 2b.</t>
  </si>
  <si>
    <t>Variant 1d</t>
  </si>
  <si>
    <t>Dyn11 - 11kV/415-240V - Ground Mt  300kVA 3Ph (inc install)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</si>
</sst>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quot;$&quot;#,##0;[Red]\-&quot;$&quot;#,##0"/>
    <numFmt numFmtId="165" formatCode="_-&quot;$&quot;* #,##0.00_-;\-&quot;$&quot;* #,##0.00_-;_-&quot;$&quot;* &quot;-&quot;??_-;_-@_-"/>
    <numFmt numFmtId="166" formatCode="#,##0.0"/>
    <numFmt numFmtId="167" formatCode="#,##0_ ;[Red]\-#,##0\ "/>
    <numFmt numFmtId="168" formatCode="_-&quot;$&quot;* #,##0_-;\-&quot;$&quot;* #,##0_-;_-&quot;$&quot;* &quot;-&quot;??_-;_-@_-"/>
  </numFmts>
  <fonts count="44" x14ac:knownFonts="1">
    <font>
      <sz val="11"/>
      <color theme="1"/>
      <name val="Aptos Narrow"/>
      <family val="2"/>
      <scheme val="minor"/>
    </font>
    <font>
      <sz val="11"/>
      <color theme="1"/>
      <name val="Aptos Narrow"/>
      <family val="2"/>
      <scheme val="minor"/>
    </font>
    <font>
      <b/>
      <sz val="15"/>
      <color theme="3"/>
      <name val="Aptos Narrow"/>
      <family val="2"/>
      <scheme val="minor"/>
    </font>
    <font>
      <b/>
      <sz val="13"/>
      <color theme="3"/>
      <name val="Aptos Narrow"/>
      <family val="2"/>
      <scheme val="minor"/>
    </font>
    <font>
      <b/>
      <sz val="11"/>
      <color theme="3"/>
      <name val="Aptos Narrow"/>
      <family val="2"/>
      <scheme val="minor"/>
    </font>
    <font>
      <sz val="11"/>
      <color rgb="FFFF0000"/>
      <name val="Aptos Narrow"/>
      <family val="2"/>
      <scheme val="minor"/>
    </font>
    <font>
      <b/>
      <sz val="11"/>
      <color theme="1"/>
      <name val="Aptos Narrow"/>
      <family val="2"/>
      <scheme val="minor"/>
    </font>
    <font>
      <i/>
      <sz val="11"/>
      <color theme="0" tint="-0.499984740745262"/>
      <name val="Aptos Narrow"/>
      <family val="2"/>
      <scheme val="minor"/>
    </font>
    <font>
      <b/>
      <u/>
      <sz val="11"/>
      <color theme="1"/>
      <name val="Aptos Narrow"/>
      <family val="2"/>
      <scheme val="minor"/>
    </font>
    <font>
      <sz val="8"/>
      <name val="Aptos Narrow"/>
      <family val="2"/>
      <scheme val="minor"/>
    </font>
    <font>
      <sz val="11"/>
      <name val="Aptos Narrow"/>
      <family val="2"/>
      <scheme val="minor"/>
    </font>
    <font>
      <u/>
      <sz val="11"/>
      <color theme="1"/>
      <name val="Aptos Narrow"/>
      <family val="2"/>
      <scheme val="minor"/>
    </font>
    <font>
      <sz val="11"/>
      <color rgb="FF0070C0"/>
      <name val="Aptos Narrow"/>
      <family val="2"/>
      <scheme val="minor"/>
    </font>
    <font>
      <sz val="11"/>
      <color theme="6"/>
      <name val="Aptos Narrow"/>
      <family val="2"/>
      <scheme val="minor"/>
    </font>
    <font>
      <b/>
      <sz val="11"/>
      <color theme="6"/>
      <name val="Aptos Narrow"/>
      <family val="2"/>
      <scheme val="minor"/>
    </font>
    <font>
      <b/>
      <sz val="11"/>
      <name val="Aptos Narrow"/>
      <family val="2"/>
      <scheme val="minor"/>
    </font>
    <font>
      <sz val="9"/>
      <name val="Aptos Narrow"/>
      <family val="2"/>
      <scheme val="minor"/>
    </font>
    <font>
      <b/>
      <sz val="10"/>
      <name val="Aptos Narrow"/>
      <family val="2"/>
      <scheme val="minor"/>
    </font>
    <font>
      <sz val="11"/>
      <color rgb="FF7030A0"/>
      <name val="Aptos Narrow"/>
      <family val="2"/>
      <scheme val="minor"/>
    </font>
    <font>
      <sz val="10"/>
      <color theme="1"/>
      <name val="Arial"/>
      <family val="2"/>
    </font>
    <font>
      <sz val="10"/>
      <color theme="1"/>
      <name val="Aptos Narrow"/>
      <family val="2"/>
      <scheme val="minor"/>
    </font>
    <font>
      <b/>
      <sz val="10"/>
      <color theme="1"/>
      <name val="Aptos Narrow"/>
      <family val="2"/>
      <scheme val="minor"/>
    </font>
    <font>
      <sz val="10"/>
      <color rgb="FFFF0000"/>
      <name val="Aptos Narrow"/>
      <family val="2"/>
      <scheme val="minor"/>
    </font>
    <font>
      <b/>
      <sz val="10"/>
      <color theme="0"/>
      <name val="Aptos Narrow"/>
      <family val="2"/>
      <scheme val="minor"/>
    </font>
    <font>
      <sz val="10"/>
      <color rgb="FF000000"/>
      <name val="Symbol"/>
      <family val="1"/>
      <charset val="2"/>
    </font>
    <font>
      <b/>
      <sz val="10"/>
      <color rgb="FFFF0000"/>
      <name val="Aptos Narrow"/>
      <family val="2"/>
      <scheme val="minor"/>
    </font>
    <font>
      <sz val="11"/>
      <color theme="1"/>
      <name val="Aptos Narrow"/>
      <family val="2"/>
    </font>
    <font>
      <i/>
      <sz val="11"/>
      <color theme="1"/>
      <name val="Aptos Narrow"/>
      <family val="2"/>
      <scheme val="minor"/>
    </font>
    <font>
      <b/>
      <sz val="8"/>
      <name val="Aptos Narrow"/>
      <family val="2"/>
      <scheme val="minor"/>
    </font>
    <font>
      <sz val="10"/>
      <name val="Wingdings"/>
      <charset val="2"/>
    </font>
    <font>
      <sz val="10"/>
      <name val="Aptos Narrow"/>
      <family val="2"/>
      <scheme val="minor"/>
    </font>
    <font>
      <i/>
      <sz val="11"/>
      <color theme="2" tint="-0.749992370372631"/>
      <name val="Aptos Narrow"/>
      <family val="2"/>
      <scheme val="minor"/>
    </font>
    <font>
      <i/>
      <sz val="10"/>
      <color theme="1"/>
      <name val="Aptos Narrow"/>
      <family val="2"/>
      <scheme val="minor"/>
    </font>
    <font>
      <sz val="11"/>
      <color rgb="FFEE0000"/>
      <name val="Aptos Narrow"/>
      <family val="2"/>
      <scheme val="minor"/>
    </font>
    <font>
      <i/>
      <sz val="11"/>
      <color theme="1" tint="0.249977111117893"/>
      <name val="Aptos Narrow"/>
      <family val="2"/>
      <scheme val="minor"/>
    </font>
    <font>
      <sz val="10"/>
      <color rgb="FF0070C0"/>
      <name val="Aptos Narrow"/>
      <family val="2"/>
      <scheme val="minor"/>
    </font>
    <font>
      <sz val="10"/>
      <color theme="6"/>
      <name val="Aptos Narrow"/>
      <family val="2"/>
      <scheme val="minor"/>
    </font>
    <font>
      <sz val="10"/>
      <color theme="8" tint="-0.249977111117893"/>
      <name val="Aptos Narrow"/>
      <family val="2"/>
      <scheme val="minor"/>
    </font>
    <font>
      <b/>
      <sz val="14"/>
      <color theme="1"/>
      <name val="Aptos Narrow"/>
      <family val="2"/>
      <scheme val="minor"/>
    </font>
    <font>
      <b/>
      <sz val="14"/>
      <color theme="8" tint="-0.249977111117893"/>
      <name val="Aptos Narrow"/>
      <family val="2"/>
      <scheme val="minor"/>
    </font>
    <font>
      <b/>
      <u/>
      <sz val="11"/>
      <color theme="3"/>
      <name val="Aptos Narrow"/>
      <family val="2"/>
      <scheme val="minor"/>
    </font>
    <font>
      <b/>
      <sz val="11"/>
      <color rgb="FF0070C0"/>
      <name val="Aptos Narrow"/>
      <family val="2"/>
      <scheme val="minor"/>
    </font>
    <font>
      <i/>
      <sz val="9"/>
      <color theme="1" tint="0.249977111117893"/>
      <name val="Aptos Narrow"/>
      <family val="2"/>
      <scheme val="minor"/>
    </font>
    <font>
      <sz val="9"/>
      <color theme="1"/>
      <name val="Aptos Narrow"/>
      <family val="2"/>
      <scheme val="minor"/>
    </font>
  </fonts>
  <fills count="9">
    <fill>
      <patternFill patternType="none"/>
    </fill>
    <fill>
      <patternFill patternType="gray125"/>
    </fill>
    <fill>
      <patternFill patternType="solid">
        <fgColor theme="0"/>
        <bgColor indexed="64"/>
      </patternFill>
    </fill>
    <fill>
      <patternFill patternType="solid">
        <fgColor rgb="FF002749"/>
        <bgColor indexed="64"/>
      </patternFill>
    </fill>
    <fill>
      <patternFill patternType="solid">
        <fgColor theme="3" tint="0.749992370372631"/>
        <bgColor indexed="64"/>
      </patternFill>
    </fill>
    <fill>
      <patternFill patternType="solid">
        <fgColor theme="3" tint="0.89999084444715716"/>
        <bgColor indexed="64"/>
      </patternFill>
    </fill>
    <fill>
      <patternFill patternType="solid">
        <fgColor rgb="FFDAE9F8"/>
        <bgColor indexed="64"/>
      </patternFill>
    </fill>
    <fill>
      <patternFill patternType="solid">
        <fgColor theme="5" tint="0.59999389629810485"/>
        <bgColor indexed="64"/>
      </patternFill>
    </fill>
    <fill>
      <patternFill patternType="solid">
        <fgColor theme="1" tint="0.14999847407452621"/>
        <bgColor indexed="64"/>
      </patternFill>
    </fill>
  </fills>
  <borders count="3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ck">
        <color theme="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thick">
        <color rgb="FF00B0F0"/>
      </left>
      <right style="thick">
        <color rgb="FF00B0F0"/>
      </right>
      <top style="thick">
        <color rgb="FF00B0F0"/>
      </top>
      <bottom/>
      <diagonal/>
    </border>
    <border>
      <left style="thick">
        <color rgb="FF00B0F0"/>
      </left>
      <right style="thick">
        <color rgb="FF00B0F0"/>
      </right>
      <top style="thin">
        <color indexed="64"/>
      </top>
      <bottom style="thin">
        <color indexed="64"/>
      </bottom>
      <diagonal/>
    </border>
    <border>
      <left style="thick">
        <color rgb="FF00B0F0"/>
      </left>
      <right style="thick">
        <color rgb="FF00B0F0"/>
      </right>
      <top style="thin">
        <color indexed="64"/>
      </top>
      <bottom style="thick">
        <color rgb="FF00B0F0"/>
      </bottom>
      <diagonal/>
    </border>
    <border>
      <left style="thick">
        <color rgb="FF00B0F0"/>
      </left>
      <right style="thick">
        <color rgb="FF00B0F0"/>
      </right>
      <top/>
      <bottom/>
      <diagonal/>
    </border>
    <border>
      <left style="thick">
        <color rgb="FF00B0F0"/>
      </left>
      <right style="thick">
        <color rgb="FF00B0F0"/>
      </right>
      <top style="thin">
        <color indexed="64"/>
      </top>
      <bottom/>
      <diagonal/>
    </border>
    <border>
      <left style="thick">
        <color rgb="FF00B0F0"/>
      </left>
      <right style="thick">
        <color rgb="FF00B0F0"/>
      </right>
      <top style="thick">
        <color rgb="FF00B0F0"/>
      </top>
      <bottom style="thin">
        <color indexed="64"/>
      </bottom>
      <diagonal/>
    </border>
    <border>
      <left style="thin">
        <color indexed="64"/>
      </left>
      <right/>
      <top style="thin">
        <color indexed="64"/>
      </top>
      <bottom style="thin">
        <color theme="1"/>
      </bottom>
      <diagonal/>
    </border>
    <border>
      <left/>
      <right style="thin">
        <color indexed="64"/>
      </right>
      <top style="thin">
        <color indexed="64"/>
      </top>
      <bottom style="thin">
        <color theme="1"/>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7">
    <xf numFmtId="0" fontId="0" fillId="0" borderId="0"/>
    <xf numFmtId="9" fontId="1" fillId="0" borderId="0" applyFont="0" applyFill="0" applyBorder="0" applyAlignment="0" applyProtection="0"/>
    <xf numFmtId="0" fontId="2" fillId="0" borderId="1" applyNumberFormat="0" applyFill="0" applyAlignment="0" applyProtection="0"/>
    <xf numFmtId="0" fontId="3" fillId="6" borderId="2" applyNumberFormat="0" applyAlignment="0" applyProtection="0"/>
    <xf numFmtId="0" fontId="4" fillId="0" borderId="3" applyNumberFormat="0" applyFill="0" applyAlignment="0" applyProtection="0"/>
    <xf numFmtId="0" fontId="4" fillId="0" borderId="0" applyNumberFormat="0" applyFill="0" applyBorder="0" applyAlignment="0" applyProtection="0"/>
    <xf numFmtId="165" fontId="1" fillId="0" borderId="0" applyFont="0" applyFill="0" applyBorder="0" applyAlignment="0" applyProtection="0"/>
  </cellStyleXfs>
  <cellXfs count="248">
    <xf numFmtId="0" fontId="0" fillId="0" borderId="0" xfId="0"/>
    <xf numFmtId="0" fontId="2" fillId="2" borderId="1" xfId="2" applyFill="1"/>
    <xf numFmtId="0" fontId="0" fillId="2" borderId="0" xfId="0" applyFill="1"/>
    <xf numFmtId="0" fontId="7" fillId="2" borderId="0" xfId="0" applyFont="1" applyFill="1"/>
    <xf numFmtId="0" fontId="6" fillId="2" borderId="0" xfId="0" applyFont="1" applyFill="1"/>
    <xf numFmtId="0" fontId="8" fillId="2" borderId="0" xfId="0" applyFont="1" applyFill="1"/>
    <xf numFmtId="0" fontId="9" fillId="2" borderId="4" xfId="0" applyFont="1" applyFill="1" applyBorder="1" applyAlignment="1">
      <alignment wrapText="1"/>
    </xf>
    <xf numFmtId="0" fontId="6" fillId="2" borderId="4" xfId="0" applyFont="1" applyFill="1" applyBorder="1" applyAlignment="1">
      <alignment wrapText="1"/>
    </xf>
    <xf numFmtId="0" fontId="4" fillId="2" borderId="3" xfId="4" applyFill="1"/>
    <xf numFmtId="3" fontId="5" fillId="2" borderId="4" xfId="0" applyNumberFormat="1" applyFont="1" applyFill="1" applyBorder="1"/>
    <xf numFmtId="0" fontId="7" fillId="2" borderId="0" xfId="0" applyFont="1" applyFill="1" applyAlignment="1">
      <alignment horizontal="right"/>
    </xf>
    <xf numFmtId="0" fontId="4" fillId="2" borderId="0" xfId="5" applyFill="1"/>
    <xf numFmtId="0" fontId="8" fillId="2" borderId="0" xfId="0" applyFont="1" applyFill="1" applyAlignment="1">
      <alignment horizontal="center"/>
    </xf>
    <xf numFmtId="0" fontId="6" fillId="0" borderId="0" xfId="0" applyFont="1"/>
    <xf numFmtId="166" fontId="0" fillId="2" borderId="0" xfId="0" applyNumberFormat="1" applyFill="1"/>
    <xf numFmtId="3" fontId="12" fillId="2" borderId="4" xfId="0" applyNumberFormat="1" applyFont="1" applyFill="1" applyBorder="1"/>
    <xf numFmtId="0" fontId="6" fillId="2" borderId="4" xfId="0" applyFont="1" applyFill="1" applyBorder="1" applyAlignment="1">
      <alignment horizontal="center"/>
    </xf>
    <xf numFmtId="3" fontId="13" fillId="2" borderId="4" xfId="0" applyNumberFormat="1" applyFont="1" applyFill="1" applyBorder="1"/>
    <xf numFmtId="0" fontId="6" fillId="2" borderId="4" xfId="0" applyFont="1" applyFill="1" applyBorder="1" applyAlignment="1">
      <alignment horizontal="left"/>
    </xf>
    <xf numFmtId="0" fontId="0" fillId="2" borderId="4" xfId="0" applyFill="1" applyBorder="1" applyAlignment="1">
      <alignment horizontal="left"/>
    </xf>
    <xf numFmtId="0" fontId="11" fillId="2" borderId="0" xfId="0" applyFont="1" applyFill="1"/>
    <xf numFmtId="0" fontId="6" fillId="2" borderId="4" xfId="0" applyFont="1" applyFill="1" applyBorder="1" applyAlignment="1">
      <alignment horizontal="left" wrapText="1"/>
    </xf>
    <xf numFmtId="0" fontId="10" fillId="2" borderId="0" xfId="0" applyFont="1" applyFill="1" applyAlignment="1">
      <alignment vertical="center" wrapText="1"/>
    </xf>
    <xf numFmtId="0" fontId="20" fillId="0" borderId="0" xfId="0" applyFont="1"/>
    <xf numFmtId="0" fontId="23" fillId="3" borderId="4" xfId="0" applyFont="1" applyFill="1" applyBorder="1" applyAlignment="1">
      <alignment wrapText="1"/>
    </xf>
    <xf numFmtId="0" fontId="23" fillId="3" borderId="4" xfId="0" applyFont="1" applyFill="1" applyBorder="1" applyAlignment="1">
      <alignment horizontal="center" textRotation="90" wrapText="1"/>
    </xf>
    <xf numFmtId="0" fontId="19" fillId="0" borderId="0" xfId="0" applyFont="1" applyAlignment="1">
      <alignment vertical="center"/>
    </xf>
    <xf numFmtId="0" fontId="6" fillId="2" borderId="0" xfId="0" applyFont="1" applyFill="1" applyAlignment="1">
      <alignment horizontal="right"/>
    </xf>
    <xf numFmtId="0" fontId="26" fillId="2" borderId="0" xfId="0" applyFont="1" applyFill="1"/>
    <xf numFmtId="0" fontId="26" fillId="2" borderId="0" xfId="0" applyFont="1" applyFill="1" applyAlignment="1">
      <alignment vertical="center"/>
    </xf>
    <xf numFmtId="3" fontId="6" fillId="2" borderId="0" xfId="0" applyNumberFormat="1" applyFont="1" applyFill="1"/>
    <xf numFmtId="0" fontId="6" fillId="2" borderId="4" xfId="0" applyFont="1" applyFill="1" applyBorder="1"/>
    <xf numFmtId="0" fontId="0" fillId="2" borderId="4" xfId="0" applyFill="1" applyBorder="1"/>
    <xf numFmtId="0" fontId="18" fillId="2" borderId="4" xfId="0" applyFont="1" applyFill="1" applyBorder="1" applyAlignment="1">
      <alignment horizontal="center" wrapText="1"/>
    </xf>
    <xf numFmtId="0" fontId="6" fillId="2" borderId="0" xfId="0" applyFont="1" applyFill="1" applyAlignment="1">
      <alignment horizontal="left"/>
    </xf>
    <xf numFmtId="0" fontId="13" fillId="2" borderId="4" xfId="0" applyFont="1" applyFill="1" applyBorder="1"/>
    <xf numFmtId="0" fontId="12" fillId="2" borderId="0" xfId="0" applyFont="1" applyFill="1"/>
    <xf numFmtId="0" fontId="6" fillId="2" borderId="6" xfId="0" applyFont="1" applyFill="1" applyBorder="1" applyAlignment="1">
      <alignment horizontal="center"/>
    </xf>
    <xf numFmtId="0" fontId="0" fillId="0" borderId="0" xfId="0" applyAlignment="1">
      <alignment horizontal="left"/>
    </xf>
    <xf numFmtId="0" fontId="5" fillId="2" borderId="4" xfId="0" applyFont="1" applyFill="1" applyBorder="1" applyAlignment="1">
      <alignment horizontal="center"/>
    </xf>
    <xf numFmtId="0" fontId="0" fillId="2" borderId="10" xfId="0" applyFill="1" applyBorder="1"/>
    <xf numFmtId="0" fontId="13" fillId="2" borderId="0" xfId="0" applyFont="1" applyFill="1"/>
    <xf numFmtId="0" fontId="28" fillId="2" borderId="15" xfId="0" applyFont="1" applyFill="1" applyBorder="1" applyAlignment="1">
      <alignment wrapText="1"/>
    </xf>
    <xf numFmtId="0" fontId="6" fillId="2" borderId="17" xfId="0" applyFont="1" applyFill="1" applyBorder="1"/>
    <xf numFmtId="3" fontId="14" fillId="2" borderId="16" xfId="0" applyNumberFormat="1" applyFont="1" applyFill="1" applyBorder="1"/>
    <xf numFmtId="0" fontId="25" fillId="0" borderId="0" xfId="0" applyFont="1"/>
    <xf numFmtId="0" fontId="28" fillId="2" borderId="0" xfId="0" applyFont="1" applyFill="1" applyAlignment="1">
      <alignment wrapText="1"/>
    </xf>
    <xf numFmtId="3" fontId="14" fillId="2" borderId="0" xfId="0" applyNumberFormat="1" applyFont="1" applyFill="1"/>
    <xf numFmtId="0" fontId="5" fillId="2" borderId="0" xfId="0" applyFont="1" applyFill="1"/>
    <xf numFmtId="0" fontId="6" fillId="2" borderId="15" xfId="0" applyFont="1" applyFill="1" applyBorder="1"/>
    <xf numFmtId="0" fontId="6" fillId="2" borderId="15" xfId="0" applyFont="1" applyFill="1" applyBorder="1" applyAlignment="1">
      <alignment horizontal="left"/>
    </xf>
    <xf numFmtId="3" fontId="14" fillId="2" borderId="15" xfId="0" applyNumberFormat="1" applyFont="1" applyFill="1" applyBorder="1"/>
    <xf numFmtId="9" fontId="5" fillId="2" borderId="4" xfId="1" applyFont="1" applyFill="1" applyBorder="1"/>
    <xf numFmtId="0" fontId="31" fillId="2" borderId="0" xfId="0" applyFont="1" applyFill="1"/>
    <xf numFmtId="0" fontId="0" fillId="2" borderId="0" xfId="0" applyFill="1" applyAlignment="1">
      <alignment horizontal="left"/>
    </xf>
    <xf numFmtId="0" fontId="27" fillId="2" borderId="9" xfId="0" applyFont="1" applyFill="1" applyBorder="1" applyAlignment="1">
      <alignment horizontal="left" indent="2"/>
    </xf>
    <xf numFmtId="0" fontId="6" fillId="2" borderId="15" xfId="0" applyFont="1" applyFill="1" applyBorder="1" applyAlignment="1">
      <alignment horizontal="left" wrapText="1"/>
    </xf>
    <xf numFmtId="0" fontId="20" fillId="2" borderId="0" xfId="0" applyFont="1" applyFill="1" applyAlignment="1">
      <alignment horizontal="left" wrapText="1"/>
    </xf>
    <xf numFmtId="0" fontId="0" fillId="2" borderId="0" xfId="0" applyFill="1" applyAlignment="1">
      <alignment horizontal="right"/>
    </xf>
    <xf numFmtId="164" fontId="0" fillId="2" borderId="0" xfId="0" applyNumberFormat="1" applyFill="1"/>
    <xf numFmtId="3" fontId="0" fillId="2" borderId="4" xfId="0" applyNumberFormat="1" applyFill="1" applyBorder="1"/>
    <xf numFmtId="3" fontId="0" fillId="2" borderId="0" xfId="0" applyNumberFormat="1" applyFill="1"/>
    <xf numFmtId="0" fontId="6" fillId="2" borderId="7" xfId="0" applyFont="1" applyFill="1" applyBorder="1"/>
    <xf numFmtId="0" fontId="6" fillId="2" borderId="6" xfId="0" applyFont="1" applyFill="1" applyBorder="1"/>
    <xf numFmtId="0" fontId="6" fillId="2" borderId="6" xfId="0" applyFont="1" applyFill="1" applyBorder="1" applyAlignment="1">
      <alignment wrapText="1"/>
    </xf>
    <xf numFmtId="3" fontId="0" fillId="2" borderId="0" xfId="0" applyNumberFormat="1" applyFill="1" applyAlignment="1">
      <alignment horizontal="center"/>
    </xf>
    <xf numFmtId="0" fontId="0" fillId="2" borderId="4" xfId="0" applyFill="1" applyBorder="1" applyAlignment="1">
      <alignment horizontal="left" wrapText="1"/>
    </xf>
    <xf numFmtId="3" fontId="0" fillId="2" borderId="4" xfId="0" applyNumberFormat="1" applyFill="1" applyBorder="1" applyAlignment="1">
      <alignment horizontal="center" vertical="center"/>
    </xf>
    <xf numFmtId="3" fontId="33" fillId="2" borderId="4" xfId="0" applyNumberFormat="1" applyFont="1" applyFill="1" applyBorder="1"/>
    <xf numFmtId="167" fontId="0" fillId="2" borderId="0" xfId="0" applyNumberFormat="1" applyFill="1"/>
    <xf numFmtId="0" fontId="27" fillId="2" borderId="0" xfId="0" applyFont="1" applyFill="1" applyAlignment="1">
      <alignment horizontal="left"/>
    </xf>
    <xf numFmtId="9" fontId="27" fillId="2" borderId="0" xfId="1" applyFont="1" applyFill="1" applyBorder="1"/>
    <xf numFmtId="0" fontId="27" fillId="2" borderId="0" xfId="0" applyFont="1" applyFill="1"/>
    <xf numFmtId="0" fontId="6" fillId="2" borderId="0" xfId="0" applyFont="1" applyFill="1" applyAlignment="1">
      <alignment horizontal="center"/>
    </xf>
    <xf numFmtId="9" fontId="33" fillId="2" borderId="4" xfId="1" applyFont="1" applyFill="1" applyBorder="1"/>
    <xf numFmtId="0" fontId="33" fillId="2" borderId="4" xfId="0" applyFont="1" applyFill="1" applyBorder="1"/>
    <xf numFmtId="9" fontId="13" fillId="2" borderId="4" xfId="1" applyFont="1" applyFill="1" applyBorder="1"/>
    <xf numFmtId="3" fontId="6" fillId="2" borderId="4" xfId="0" applyNumberFormat="1" applyFont="1" applyFill="1" applyBorder="1" applyAlignment="1">
      <alignment wrapText="1"/>
    </xf>
    <xf numFmtId="3" fontId="6" fillId="2" borderId="4" xfId="0" applyNumberFormat="1" applyFont="1" applyFill="1" applyBorder="1"/>
    <xf numFmtId="0" fontId="10" fillId="2" borderId="0" xfId="0" applyFont="1" applyFill="1" applyAlignment="1">
      <alignment horizontal="center" vertical="center" wrapText="1"/>
    </xf>
    <xf numFmtId="0" fontId="0" fillId="2" borderId="7" xfId="0" applyFill="1" applyBorder="1"/>
    <xf numFmtId="9" fontId="0" fillId="2" borderId="0" xfId="0" applyNumberFormat="1" applyFill="1"/>
    <xf numFmtId="0" fontId="0" fillId="2" borderId="6" xfId="0" applyFill="1" applyBorder="1"/>
    <xf numFmtId="0" fontId="33" fillId="2" borderId="6" xfId="0" applyFont="1" applyFill="1" applyBorder="1"/>
    <xf numFmtId="0" fontId="6" fillId="2" borderId="19" xfId="0" applyFont="1" applyFill="1" applyBorder="1"/>
    <xf numFmtId="0" fontId="33" fillId="2" borderId="7" xfId="0" applyFont="1" applyFill="1" applyBorder="1"/>
    <xf numFmtId="3" fontId="13" fillId="2" borderId="7" xfId="0" applyNumberFormat="1" applyFont="1" applyFill="1" applyBorder="1"/>
    <xf numFmtId="9" fontId="13" fillId="2" borderId="7" xfId="1" applyFont="1" applyFill="1" applyBorder="1"/>
    <xf numFmtId="0" fontId="6" fillId="2" borderId="23" xfId="0" applyFont="1" applyFill="1" applyBorder="1"/>
    <xf numFmtId="0" fontId="33" fillId="2" borderId="24" xfId="0" applyFont="1" applyFill="1" applyBorder="1"/>
    <xf numFmtId="3" fontId="13" fillId="2" borderId="24" xfId="0" applyNumberFormat="1" applyFont="1" applyFill="1" applyBorder="1"/>
    <xf numFmtId="9" fontId="13" fillId="2" borderId="24" xfId="1" applyFont="1" applyFill="1" applyBorder="1"/>
    <xf numFmtId="3" fontId="13" fillId="2" borderId="25" xfId="0" applyNumberFormat="1" applyFont="1" applyFill="1" applyBorder="1"/>
    <xf numFmtId="3" fontId="0" fillId="2" borderId="7" xfId="0" applyNumberFormat="1" applyFill="1" applyBorder="1" applyAlignment="1">
      <alignment horizontal="center" vertical="center"/>
    </xf>
    <xf numFmtId="3" fontId="0" fillId="2" borderId="26" xfId="0" applyNumberFormat="1" applyFill="1" applyBorder="1"/>
    <xf numFmtId="0" fontId="6" fillId="2" borderId="27" xfId="0" applyFont="1" applyFill="1" applyBorder="1"/>
    <xf numFmtId="3" fontId="0" fillId="2" borderId="24" xfId="0" applyNumberFormat="1" applyFill="1" applyBorder="1" applyAlignment="1">
      <alignment horizontal="center" vertical="center"/>
    </xf>
    <xf numFmtId="3" fontId="0" fillId="2" borderId="26" xfId="0" applyNumberFormat="1" applyFill="1" applyBorder="1" applyAlignment="1">
      <alignment horizontal="center"/>
    </xf>
    <xf numFmtId="3" fontId="0" fillId="2" borderId="25" xfId="0" applyNumberFormat="1" applyFill="1" applyBorder="1" applyAlignment="1">
      <alignment horizontal="center" vertical="center"/>
    </xf>
    <xf numFmtId="3" fontId="0" fillId="2" borderId="7" xfId="0" applyNumberFormat="1" applyFill="1" applyBorder="1"/>
    <xf numFmtId="3" fontId="6" fillId="2" borderId="7" xfId="0" applyNumberFormat="1" applyFont="1" applyFill="1" applyBorder="1"/>
    <xf numFmtId="0" fontId="6" fillId="2" borderId="9" xfId="0" applyFont="1" applyFill="1" applyBorder="1"/>
    <xf numFmtId="3" fontId="14" fillId="2" borderId="9" xfId="0" applyNumberFormat="1" applyFont="1" applyFill="1" applyBorder="1"/>
    <xf numFmtId="3" fontId="6" fillId="2" borderId="9" xfId="0" applyNumberFormat="1" applyFont="1" applyFill="1" applyBorder="1"/>
    <xf numFmtId="3" fontId="0" fillId="2" borderId="9" xfId="0" applyNumberFormat="1" applyFill="1" applyBorder="1"/>
    <xf numFmtId="0" fontId="6" fillId="2" borderId="28" xfId="0" applyFont="1" applyFill="1" applyBorder="1"/>
    <xf numFmtId="3" fontId="0" fillId="2" borderId="24" xfId="0" applyNumberFormat="1" applyFill="1" applyBorder="1"/>
    <xf numFmtId="3" fontId="6" fillId="2" borderId="24" xfId="0" applyNumberFormat="1" applyFont="1" applyFill="1" applyBorder="1"/>
    <xf numFmtId="0" fontId="21" fillId="2" borderId="0" xfId="0" applyFont="1" applyFill="1" applyAlignment="1">
      <alignment horizontal="center" wrapText="1"/>
    </xf>
    <xf numFmtId="0" fontId="6" fillId="2" borderId="21" xfId="0" applyFont="1" applyFill="1" applyBorder="1"/>
    <xf numFmtId="0" fontId="33" fillId="2" borderId="21" xfId="0" applyFont="1" applyFill="1" applyBorder="1"/>
    <xf numFmtId="0" fontId="33" fillId="2" borderId="9" xfId="0" applyFont="1" applyFill="1" applyBorder="1"/>
    <xf numFmtId="3" fontId="13" fillId="2" borderId="9" xfId="0" applyNumberFormat="1" applyFont="1" applyFill="1" applyBorder="1"/>
    <xf numFmtId="0" fontId="6" fillId="2" borderId="23" xfId="0" applyFont="1" applyFill="1" applyBorder="1" applyAlignment="1">
      <alignment wrapText="1"/>
    </xf>
    <xf numFmtId="0" fontId="33" fillId="2" borderId="27" xfId="0" applyFont="1" applyFill="1" applyBorder="1" applyAlignment="1">
      <alignment wrapText="1"/>
    </xf>
    <xf numFmtId="0" fontId="0" fillId="0" borderId="4" xfId="0" applyBorder="1" applyAlignment="1">
      <alignment horizontal="left"/>
    </xf>
    <xf numFmtId="3" fontId="5" fillId="2" borderId="4" xfId="0" applyNumberFormat="1" applyFont="1" applyFill="1" applyBorder="1" applyAlignment="1">
      <alignment horizontal="right"/>
    </xf>
    <xf numFmtId="3" fontId="5" fillId="2" borderId="7" xfId="0" applyNumberFormat="1" applyFont="1" applyFill="1" applyBorder="1"/>
    <xf numFmtId="166" fontId="5" fillId="2" borderId="4" xfId="0" applyNumberFormat="1" applyFont="1" applyFill="1" applyBorder="1"/>
    <xf numFmtId="3" fontId="5" fillId="2" borderId="7" xfId="0" applyNumberFormat="1" applyFont="1" applyFill="1" applyBorder="1" applyAlignment="1">
      <alignment horizontal="right"/>
    </xf>
    <xf numFmtId="166" fontId="5" fillId="2" borderId="4" xfId="0" applyNumberFormat="1" applyFont="1" applyFill="1" applyBorder="1" applyAlignment="1">
      <alignment horizontal="center"/>
    </xf>
    <xf numFmtId="0" fontId="0" fillId="2" borderId="9" xfId="0" applyFill="1" applyBorder="1"/>
    <xf numFmtId="0" fontId="27" fillId="2" borderId="4" xfId="0" applyFont="1" applyFill="1" applyBorder="1" applyAlignment="1">
      <alignment horizontal="left" indent="2"/>
    </xf>
    <xf numFmtId="0" fontId="0" fillId="2" borderId="0" xfId="0" applyFill="1" applyAlignment="1">
      <alignment wrapText="1"/>
    </xf>
    <xf numFmtId="0" fontId="6" fillId="2" borderId="0" xfId="0" applyFont="1" applyFill="1" applyAlignment="1">
      <alignment horizontal="left" wrapText="1"/>
    </xf>
    <xf numFmtId="0" fontId="0" fillId="2" borderId="4" xfId="0" applyFill="1" applyBorder="1" applyAlignment="1">
      <alignment wrapText="1"/>
    </xf>
    <xf numFmtId="9" fontId="13" fillId="2" borderId="25" xfId="1" applyFont="1" applyFill="1" applyBorder="1"/>
    <xf numFmtId="9" fontId="14" fillId="2" borderId="4" xfId="1" applyFont="1" applyFill="1" applyBorder="1"/>
    <xf numFmtId="0" fontId="6" fillId="2" borderId="7" xfId="0" applyFont="1" applyFill="1" applyBorder="1" applyAlignment="1">
      <alignment horizontal="left"/>
    </xf>
    <xf numFmtId="0" fontId="6" fillId="2" borderId="9" xfId="0" applyFont="1" applyFill="1" applyBorder="1" applyAlignment="1">
      <alignment horizontal="left"/>
    </xf>
    <xf numFmtId="0" fontId="23" fillId="3" borderId="4" xfId="0" applyFont="1" applyFill="1" applyBorder="1"/>
    <xf numFmtId="0" fontId="21" fillId="5" borderId="4" xfId="0" applyFont="1" applyFill="1" applyBorder="1" applyAlignment="1">
      <alignment vertical="center"/>
    </xf>
    <xf numFmtId="0" fontId="20" fillId="5" borderId="4" xfId="0" applyFont="1" applyFill="1" applyBorder="1" applyAlignment="1">
      <alignment vertical="center" wrapText="1"/>
    </xf>
    <xf numFmtId="0" fontId="20" fillId="5" borderId="4" xfId="0" applyFont="1" applyFill="1" applyBorder="1" applyAlignment="1">
      <alignment horizontal="center" vertical="center" wrapText="1"/>
    </xf>
    <xf numFmtId="0" fontId="29" fillId="5" borderId="4" xfId="0" applyFont="1" applyFill="1" applyBorder="1" applyAlignment="1">
      <alignment horizontal="center" vertical="center"/>
    </xf>
    <xf numFmtId="0" fontId="30" fillId="5" borderId="4" xfId="0" applyFont="1" applyFill="1" applyBorder="1" applyAlignment="1">
      <alignment horizontal="center" vertical="center" wrapText="1"/>
    </xf>
    <xf numFmtId="0" fontId="20" fillId="0" borderId="0" xfId="0" applyFont="1" applyAlignment="1">
      <alignment vertical="center"/>
    </xf>
    <xf numFmtId="0" fontId="24" fillId="0" borderId="0" xfId="0" applyFont="1" applyAlignment="1">
      <alignment horizontal="left" vertical="center"/>
    </xf>
    <xf numFmtId="0" fontId="22" fillId="0" borderId="0" xfId="0" applyFont="1" applyAlignment="1">
      <alignment vertical="center"/>
    </xf>
    <xf numFmtId="0" fontId="21" fillId="2" borderId="4" xfId="0" applyFont="1" applyFill="1" applyBorder="1" applyAlignment="1">
      <alignment vertical="center"/>
    </xf>
    <xf numFmtId="0" fontId="20" fillId="2" borderId="4" xfId="0" applyFont="1" applyFill="1" applyBorder="1" applyAlignment="1">
      <alignment vertical="center" wrapText="1"/>
    </xf>
    <xf numFmtId="0" fontId="20" fillId="2" borderId="4" xfId="0" applyFont="1" applyFill="1" applyBorder="1" applyAlignment="1">
      <alignment horizontal="center" vertical="center" wrapText="1"/>
    </xf>
    <xf numFmtId="0" fontId="29" fillId="2" borderId="4" xfId="0" applyFont="1" applyFill="1" applyBorder="1" applyAlignment="1">
      <alignment horizontal="center" vertical="center"/>
    </xf>
    <xf numFmtId="0" fontId="30" fillId="2" borderId="4" xfId="0" applyFont="1" applyFill="1" applyBorder="1" applyAlignment="1">
      <alignment horizontal="center" vertical="center" wrapText="1"/>
    </xf>
    <xf numFmtId="0" fontId="17" fillId="5" borderId="4" xfId="0" applyFont="1" applyFill="1" applyBorder="1" applyAlignment="1">
      <alignment vertical="center"/>
    </xf>
    <xf numFmtId="0" fontId="30" fillId="5" borderId="4" xfId="0" applyFont="1" applyFill="1" applyBorder="1" applyAlignment="1">
      <alignment vertical="center" wrapText="1"/>
    </xf>
    <xf numFmtId="0" fontId="26" fillId="0" borderId="0" xfId="0" applyFont="1"/>
    <xf numFmtId="0" fontId="26" fillId="0" borderId="0" xfId="0" applyFont="1" applyAlignment="1">
      <alignment vertical="center"/>
    </xf>
    <xf numFmtId="0" fontId="20" fillId="2" borderId="0" xfId="0" applyFont="1" applyFill="1"/>
    <xf numFmtId="0" fontId="20" fillId="2" borderId="0" xfId="0" applyFont="1" applyFill="1" applyAlignment="1">
      <alignment vertical="center"/>
    </xf>
    <xf numFmtId="0" fontId="3" fillId="5" borderId="2" xfId="3" applyFill="1"/>
    <xf numFmtId="0" fontId="3" fillId="6" borderId="2" xfId="3"/>
    <xf numFmtId="0" fontId="34" fillId="2" borderId="0" xfId="0" applyFont="1" applyFill="1"/>
    <xf numFmtId="0" fontId="22" fillId="2" borderId="5" xfId="2" applyFont="1" applyFill="1" applyBorder="1" applyAlignment="1">
      <alignment horizontal="center"/>
    </xf>
    <xf numFmtId="0" fontId="35" fillId="2" borderId="5" xfId="2" applyFont="1" applyFill="1" applyBorder="1" applyAlignment="1">
      <alignment horizontal="center"/>
    </xf>
    <xf numFmtId="0" fontId="36" fillId="2" borderId="5" xfId="2" applyFont="1" applyFill="1" applyBorder="1" applyAlignment="1">
      <alignment horizontal="center"/>
    </xf>
    <xf numFmtId="0" fontId="37" fillId="2" borderId="5" xfId="2" applyFont="1" applyFill="1" applyBorder="1" applyAlignment="1">
      <alignment horizontal="center"/>
    </xf>
    <xf numFmtId="0" fontId="30" fillId="2" borderId="5" xfId="2" applyFont="1" applyFill="1" applyBorder="1" applyAlignment="1">
      <alignment horizontal="center"/>
    </xf>
    <xf numFmtId="0" fontId="38" fillId="7" borderId="31" xfId="0" applyFont="1" applyFill="1" applyBorder="1"/>
    <xf numFmtId="0" fontId="39" fillId="7" borderId="32" xfId="2" applyFont="1" applyFill="1" applyBorder="1" applyAlignment="1">
      <alignment horizontal="center"/>
    </xf>
    <xf numFmtId="0" fontId="27" fillId="2" borderId="4" xfId="0" applyFont="1" applyFill="1" applyBorder="1" applyAlignment="1">
      <alignment horizontal="left" indent="3"/>
    </xf>
    <xf numFmtId="0" fontId="30" fillId="2" borderId="0" xfId="0" applyFont="1" applyFill="1" applyAlignment="1">
      <alignment horizontal="left" wrapText="1"/>
    </xf>
    <xf numFmtId="0" fontId="12" fillId="2" borderId="4" xfId="0" applyFont="1" applyFill="1" applyBorder="1"/>
    <xf numFmtId="0" fontId="12" fillId="2" borderId="4" xfId="0" applyFont="1" applyFill="1" applyBorder="1" applyAlignment="1">
      <alignment horizontal="center"/>
    </xf>
    <xf numFmtId="3" fontId="14" fillId="2" borderId="4" xfId="0" applyNumberFormat="1" applyFont="1" applyFill="1" applyBorder="1"/>
    <xf numFmtId="0" fontId="5" fillId="2" borderId="4" xfId="0" applyFont="1" applyFill="1" applyBorder="1"/>
    <xf numFmtId="3" fontId="41" fillId="2" borderId="4" xfId="0" applyNumberFormat="1" applyFont="1" applyFill="1" applyBorder="1"/>
    <xf numFmtId="0" fontId="12" fillId="2" borderId="4" xfId="0" applyFont="1" applyFill="1" applyBorder="1" applyAlignment="1">
      <alignment horizontal="center" wrapText="1"/>
    </xf>
    <xf numFmtId="0" fontId="20" fillId="2" borderId="0" xfId="0" applyFont="1" applyFill="1" applyAlignment="1">
      <alignment wrapText="1"/>
    </xf>
    <xf numFmtId="0" fontId="30" fillId="2" borderId="0" xfId="0" applyFont="1" applyFill="1" applyAlignment="1">
      <alignment wrapText="1"/>
    </xf>
    <xf numFmtId="0" fontId="5" fillId="8" borderId="4" xfId="0" applyFont="1" applyFill="1" applyBorder="1" applyAlignment="1">
      <alignment horizontal="center"/>
    </xf>
    <xf numFmtId="9" fontId="5" fillId="8" borderId="4" xfId="1" applyFont="1" applyFill="1" applyBorder="1"/>
    <xf numFmtId="2" fontId="10" fillId="2" borderId="4" xfId="0" applyNumberFormat="1" applyFont="1" applyFill="1" applyBorder="1"/>
    <xf numFmtId="2" fontId="13" fillId="2" borderId="4" xfId="0" applyNumberFormat="1" applyFont="1" applyFill="1" applyBorder="1"/>
    <xf numFmtId="10" fontId="0" fillId="2" borderId="0" xfId="0" applyNumberFormat="1" applyFill="1"/>
    <xf numFmtId="2" fontId="0" fillId="2" borderId="0" xfId="0" applyNumberFormat="1" applyFill="1"/>
    <xf numFmtId="168" fontId="0" fillId="2" borderId="0" xfId="6" applyNumberFormat="1" applyFont="1" applyFill="1"/>
    <xf numFmtId="168" fontId="0" fillId="2" borderId="0" xfId="0" applyNumberFormat="1" applyFill="1"/>
    <xf numFmtId="0" fontId="42" fillId="2" borderId="0" xfId="0" applyFont="1" applyFill="1" applyAlignment="1">
      <alignment horizontal="center"/>
    </xf>
    <xf numFmtId="0" fontId="0" fillId="2" borderId="4" xfId="0" applyFill="1" applyBorder="1" applyAlignment="1">
      <alignment horizontal="center"/>
    </xf>
    <xf numFmtId="0" fontId="15" fillId="2" borderId="4" xfId="0" applyFont="1" applyFill="1" applyBorder="1" applyAlignment="1">
      <alignment wrapText="1"/>
    </xf>
    <xf numFmtId="10" fontId="5" fillId="2" borderId="4" xfId="0" applyNumberFormat="1" applyFont="1" applyFill="1" applyBorder="1"/>
    <xf numFmtId="10" fontId="14" fillId="2" borderId="4" xfId="0" applyNumberFormat="1" applyFont="1" applyFill="1" applyBorder="1"/>
    <xf numFmtId="4" fontId="5" fillId="2" borderId="4" xfId="0" applyNumberFormat="1" applyFont="1" applyFill="1" applyBorder="1"/>
    <xf numFmtId="0" fontId="21" fillId="5" borderId="4" xfId="0" applyFont="1" applyFill="1" applyBorder="1" applyAlignment="1">
      <alignment horizontal="center" vertical="center" wrapText="1"/>
    </xf>
    <xf numFmtId="0" fontId="21" fillId="2" borderId="6" xfId="0" applyFont="1" applyFill="1" applyBorder="1" applyAlignment="1">
      <alignment horizontal="center" vertical="center" wrapText="1"/>
    </xf>
    <xf numFmtId="0" fontId="21" fillId="2" borderId="10" xfId="0" applyFont="1" applyFill="1" applyBorder="1" applyAlignment="1">
      <alignment horizontal="center" vertical="center" wrapText="1"/>
    </xf>
    <xf numFmtId="0" fontId="20" fillId="5" borderId="6" xfId="0" quotePrefix="1" applyFont="1" applyFill="1" applyBorder="1" applyAlignment="1">
      <alignment horizontal="left" vertical="center" wrapText="1"/>
    </xf>
    <xf numFmtId="0" fontId="20" fillId="5" borderId="14" xfId="0" applyFont="1" applyFill="1" applyBorder="1" applyAlignment="1">
      <alignment horizontal="left" vertical="center" wrapText="1"/>
    </xf>
    <xf numFmtId="0" fontId="20" fillId="5" borderId="10" xfId="0" applyFont="1" applyFill="1" applyBorder="1" applyAlignment="1">
      <alignment horizontal="left" vertical="center" wrapText="1"/>
    </xf>
    <xf numFmtId="0" fontId="20" fillId="2" borderId="6" xfId="0" quotePrefix="1" applyFont="1" applyFill="1" applyBorder="1" applyAlignment="1">
      <alignment horizontal="left" vertical="center" wrapText="1"/>
    </xf>
    <xf numFmtId="0" fontId="20" fillId="2" borderId="10" xfId="0" applyFont="1" applyFill="1" applyBorder="1" applyAlignment="1">
      <alignment horizontal="left" vertical="center" wrapText="1"/>
    </xf>
    <xf numFmtId="0" fontId="17" fillId="5" borderId="4" xfId="0" applyFont="1" applyFill="1" applyBorder="1" applyAlignment="1">
      <alignment horizontal="center" vertical="center" wrapText="1"/>
    </xf>
    <xf numFmtId="0" fontId="20" fillId="5" borderId="4" xfId="0" quotePrefix="1" applyFont="1" applyFill="1" applyBorder="1" applyAlignment="1">
      <alignment horizontal="left" vertical="center" wrapText="1"/>
    </xf>
    <xf numFmtId="0" fontId="20" fillId="5" borderId="4" xfId="0" applyFont="1" applyFill="1" applyBorder="1" applyAlignment="1">
      <alignment horizontal="left" vertical="center" wrapText="1"/>
    </xf>
    <xf numFmtId="0" fontId="16" fillId="2" borderId="4" xfId="0" applyFont="1" applyFill="1" applyBorder="1" applyAlignment="1">
      <alignment horizontal="left" wrapText="1"/>
    </xf>
    <xf numFmtId="0" fontId="6" fillId="2" borderId="4" xfId="0" applyFont="1" applyFill="1" applyBorder="1" applyAlignment="1">
      <alignment horizontal="left" wrapText="1"/>
    </xf>
    <xf numFmtId="0" fontId="6" fillId="2" borderId="29" xfId="0" applyFont="1" applyFill="1" applyBorder="1" applyAlignment="1">
      <alignment horizontal="left"/>
    </xf>
    <xf numFmtId="0" fontId="6" fillId="2" borderId="30" xfId="0" applyFont="1" applyFill="1" applyBorder="1" applyAlignment="1">
      <alignment horizontal="left"/>
    </xf>
    <xf numFmtId="0" fontId="6" fillId="4" borderId="4" xfId="0" applyFont="1" applyFill="1" applyBorder="1" applyAlignment="1">
      <alignment horizontal="center" wrapText="1"/>
    </xf>
    <xf numFmtId="0" fontId="10" fillId="2" borderId="4" xfId="0" quotePrefix="1" applyFont="1" applyFill="1" applyBorder="1" applyAlignment="1">
      <alignment horizontal="left" vertical="center" wrapText="1"/>
    </xf>
    <xf numFmtId="0" fontId="43" fillId="2" borderId="4" xfId="0" applyFont="1" applyFill="1" applyBorder="1" applyAlignment="1">
      <alignment horizontal="left" wrapText="1"/>
    </xf>
    <xf numFmtId="0" fontId="6" fillId="2" borderId="7" xfId="0" applyFont="1" applyFill="1" applyBorder="1" applyAlignment="1">
      <alignment horizontal="left" wrapText="1"/>
    </xf>
    <xf numFmtId="0" fontId="6" fillId="2" borderId="8" xfId="0" applyFont="1" applyFill="1" applyBorder="1" applyAlignment="1">
      <alignment horizontal="left" wrapText="1"/>
    </xf>
    <xf numFmtId="0" fontId="6" fillId="2" borderId="9" xfId="0" applyFont="1" applyFill="1" applyBorder="1" applyAlignment="1">
      <alignment horizontal="left" wrapText="1"/>
    </xf>
    <xf numFmtId="0" fontId="30" fillId="2" borderId="4" xfId="0" applyFont="1" applyFill="1" applyBorder="1" applyAlignment="1">
      <alignment horizontal="left" wrapText="1"/>
    </xf>
    <xf numFmtId="0" fontId="10" fillId="2" borderId="4" xfId="0" applyFont="1" applyFill="1" applyBorder="1" applyAlignment="1">
      <alignment horizontal="center" vertical="center" wrapText="1"/>
    </xf>
    <xf numFmtId="0" fontId="6" fillId="2" borderId="4" xfId="0" applyFont="1" applyFill="1" applyBorder="1" applyAlignment="1">
      <alignment horizontal="left"/>
    </xf>
    <xf numFmtId="0" fontId="16" fillId="2" borderId="7" xfId="0" applyFont="1" applyFill="1" applyBorder="1" applyAlignment="1">
      <alignment horizontal="left" wrapText="1"/>
    </xf>
    <xf numFmtId="0" fontId="16" fillId="2" borderId="8" xfId="0" applyFont="1" applyFill="1" applyBorder="1" applyAlignment="1">
      <alignment horizontal="left" wrapText="1"/>
    </xf>
    <xf numFmtId="0" fontId="16" fillId="2" borderId="9" xfId="0" applyFont="1" applyFill="1" applyBorder="1" applyAlignment="1">
      <alignment horizontal="left" wrapText="1"/>
    </xf>
    <xf numFmtId="0" fontId="10" fillId="2" borderId="7" xfId="0" applyFont="1" applyFill="1" applyBorder="1" applyAlignment="1">
      <alignment horizontal="center" vertical="center" wrapText="1"/>
    </xf>
    <xf numFmtId="0" fontId="10" fillId="2" borderId="8" xfId="0" applyFont="1" applyFill="1" applyBorder="1" applyAlignment="1">
      <alignment horizontal="center" vertical="center" wrapText="1"/>
    </xf>
    <xf numFmtId="0" fontId="10" fillId="2" borderId="9" xfId="0" applyFont="1" applyFill="1" applyBorder="1" applyAlignment="1">
      <alignment horizontal="center" vertical="center" wrapText="1"/>
    </xf>
    <xf numFmtId="0" fontId="10" fillId="2" borderId="7" xfId="0" quotePrefix="1" applyFont="1" applyFill="1" applyBorder="1" applyAlignment="1">
      <alignment horizontal="left" vertical="center" wrapText="1"/>
    </xf>
    <xf numFmtId="0" fontId="10" fillId="2" borderId="8" xfId="0" applyFont="1" applyFill="1" applyBorder="1" applyAlignment="1">
      <alignment horizontal="left" vertical="center" wrapText="1"/>
    </xf>
    <xf numFmtId="0" fontId="10" fillId="2" borderId="9" xfId="0" applyFont="1" applyFill="1" applyBorder="1" applyAlignment="1">
      <alignment horizontal="left" vertical="center" wrapText="1"/>
    </xf>
    <xf numFmtId="0" fontId="6" fillId="2" borderId="7" xfId="0" applyFont="1" applyFill="1" applyBorder="1" applyAlignment="1">
      <alignment horizontal="left"/>
    </xf>
    <xf numFmtId="0" fontId="6" fillId="2" borderId="9" xfId="0" applyFont="1" applyFill="1" applyBorder="1" applyAlignment="1">
      <alignment horizontal="left"/>
    </xf>
    <xf numFmtId="0" fontId="20" fillId="2" borderId="0" xfId="0" applyFont="1" applyFill="1" applyAlignment="1">
      <alignment horizontal="left" wrapText="1"/>
    </xf>
    <xf numFmtId="0" fontId="43" fillId="0" borderId="4" xfId="0" applyFont="1" applyBorder="1" applyAlignment="1">
      <alignment horizontal="left" wrapText="1"/>
    </xf>
    <xf numFmtId="0" fontId="43" fillId="2" borderId="7" xfId="0" applyFont="1" applyFill="1" applyBorder="1" applyAlignment="1">
      <alignment horizontal="left" wrapText="1"/>
    </xf>
    <xf numFmtId="0" fontId="43" fillId="2" borderId="8" xfId="0" applyFont="1" applyFill="1" applyBorder="1" applyAlignment="1">
      <alignment horizontal="left" wrapText="1"/>
    </xf>
    <xf numFmtId="0" fontId="43" fillId="2" borderId="9" xfId="0" applyFont="1" applyFill="1" applyBorder="1" applyAlignment="1">
      <alignment horizontal="left" wrapText="1"/>
    </xf>
    <xf numFmtId="0" fontId="20" fillId="2" borderId="7" xfId="0" applyFont="1" applyFill="1" applyBorder="1" applyAlignment="1">
      <alignment horizontal="left" wrapText="1"/>
    </xf>
    <xf numFmtId="0" fontId="20" fillId="2" borderId="8" xfId="0" applyFont="1" applyFill="1" applyBorder="1" applyAlignment="1">
      <alignment horizontal="left" wrapText="1"/>
    </xf>
    <xf numFmtId="0" fontId="20" fillId="2" borderId="9" xfId="0" applyFont="1" applyFill="1" applyBorder="1" applyAlignment="1">
      <alignment horizontal="left" wrapText="1"/>
    </xf>
    <xf numFmtId="0" fontId="0" fillId="2" borderId="4" xfId="0" applyFill="1" applyBorder="1" applyAlignment="1">
      <alignment horizontal="left"/>
    </xf>
    <xf numFmtId="0" fontId="43" fillId="2" borderId="19" xfId="0" applyFont="1" applyFill="1" applyBorder="1" applyAlignment="1">
      <alignment horizontal="left" wrapText="1"/>
    </xf>
    <xf numFmtId="0" fontId="43" fillId="2" borderId="20" xfId="0" applyFont="1" applyFill="1" applyBorder="1" applyAlignment="1">
      <alignment horizontal="left" wrapText="1"/>
    </xf>
    <xf numFmtId="0" fontId="43" fillId="2" borderId="21" xfId="0" applyFont="1" applyFill="1" applyBorder="1" applyAlignment="1">
      <alignment horizontal="left" wrapText="1"/>
    </xf>
    <xf numFmtId="0" fontId="43" fillId="2" borderId="13" xfId="0" applyFont="1" applyFill="1" applyBorder="1" applyAlignment="1">
      <alignment horizontal="left" wrapText="1"/>
    </xf>
    <xf numFmtId="0" fontId="43" fillId="2" borderId="22" xfId="0" applyFont="1" applyFill="1" applyBorder="1" applyAlignment="1">
      <alignment horizontal="left" wrapText="1"/>
    </xf>
    <xf numFmtId="0" fontId="43" fillId="2" borderId="18" xfId="0" applyFont="1" applyFill="1" applyBorder="1" applyAlignment="1">
      <alignment horizontal="left" wrapText="1"/>
    </xf>
    <xf numFmtId="0" fontId="6" fillId="2" borderId="19" xfId="0" applyFont="1" applyFill="1" applyBorder="1" applyAlignment="1">
      <alignment horizontal="left" wrapText="1"/>
    </xf>
    <xf numFmtId="0" fontId="6" fillId="2" borderId="20" xfId="0" applyFont="1" applyFill="1" applyBorder="1" applyAlignment="1">
      <alignment horizontal="left" wrapText="1"/>
    </xf>
    <xf numFmtId="0" fontId="6" fillId="2" borderId="21" xfId="0" applyFont="1" applyFill="1" applyBorder="1" applyAlignment="1">
      <alignment horizontal="left" wrapText="1"/>
    </xf>
    <xf numFmtId="0" fontId="43" fillId="2" borderId="12" xfId="0" applyFont="1" applyFill="1" applyBorder="1" applyAlignment="1">
      <alignment horizontal="left" wrapText="1"/>
    </xf>
    <xf numFmtId="0" fontId="43" fillId="2" borderId="0" xfId="0" applyFont="1" applyFill="1" applyAlignment="1">
      <alignment horizontal="left" wrapText="1"/>
    </xf>
    <xf numFmtId="0" fontId="43" fillId="2" borderId="11" xfId="0" applyFont="1" applyFill="1" applyBorder="1" applyAlignment="1">
      <alignment horizontal="left" wrapText="1"/>
    </xf>
    <xf numFmtId="0" fontId="20" fillId="2" borderId="4" xfId="0" applyFont="1" applyFill="1" applyBorder="1" applyAlignment="1">
      <alignment horizontal="left" wrapText="1"/>
    </xf>
    <xf numFmtId="0" fontId="0" fillId="2" borderId="7" xfId="0" applyFill="1" applyBorder="1" applyAlignment="1">
      <alignment horizontal="left"/>
    </xf>
    <xf numFmtId="0" fontId="0" fillId="2" borderId="9" xfId="0" applyFill="1" applyBorder="1" applyAlignment="1">
      <alignment horizontal="left"/>
    </xf>
    <xf numFmtId="0" fontId="0" fillId="2" borderId="7" xfId="0" applyFill="1" applyBorder="1" applyAlignment="1">
      <alignment horizontal="left" wrapText="1"/>
    </xf>
    <xf numFmtId="0" fontId="0" fillId="2" borderId="8" xfId="0" applyFill="1" applyBorder="1" applyAlignment="1">
      <alignment horizontal="left" wrapText="1"/>
    </xf>
    <xf numFmtId="0" fontId="0" fillId="2" borderId="9" xfId="0" applyFill="1" applyBorder="1" applyAlignment="1">
      <alignment horizontal="left" wrapText="1"/>
    </xf>
    <xf numFmtId="0" fontId="20" fillId="2" borderId="15" xfId="0" applyFont="1" applyFill="1" applyBorder="1" applyAlignment="1">
      <alignment horizontal="left"/>
    </xf>
    <xf numFmtId="0" fontId="0" fillId="2" borderId="15" xfId="0" applyFill="1" applyBorder="1" applyAlignment="1">
      <alignment horizontal="center"/>
    </xf>
  </cellXfs>
  <cellStyles count="7">
    <cellStyle name="Currency" xfId="6" builtinId="4"/>
    <cellStyle name="Heading 1" xfId="2" builtinId="16"/>
    <cellStyle name="Heading 2" xfId="3" builtinId="17" customBuiltin="1"/>
    <cellStyle name="Heading 3" xfId="4" builtinId="18"/>
    <cellStyle name="Heading 4" xfId="5" builtinId="19"/>
    <cellStyle name="Normal" xfId="0" builtinId="0"/>
    <cellStyle name="Per cent" xfId="1" builtinId="5"/>
  </cellStyles>
  <dxfs count="34">
    <dxf>
      <font>
        <b/>
        <i val="0"/>
        <color theme="0"/>
      </font>
      <fill>
        <patternFill>
          <bgColor rgb="FF00B050"/>
        </patternFill>
      </fill>
    </dxf>
    <dxf>
      <font>
        <b/>
        <i val="0"/>
        <color theme="0"/>
      </font>
      <fill>
        <patternFill>
          <bgColor rgb="FFEE0000"/>
        </patternFill>
      </fill>
    </dxf>
    <dxf>
      <font>
        <b/>
        <i val="0"/>
        <color theme="0"/>
      </font>
      <fill>
        <patternFill>
          <bgColor rgb="FF00B050"/>
        </patternFill>
      </fill>
    </dxf>
    <dxf>
      <font>
        <b/>
        <i val="0"/>
        <color theme="0"/>
      </font>
      <fill>
        <patternFill>
          <bgColor rgb="FFEE0000"/>
        </patternFill>
      </fill>
    </dxf>
    <dxf>
      <fill>
        <patternFill>
          <bgColor theme="2" tint="-0.749961851863155"/>
        </patternFill>
      </fill>
    </dxf>
    <dxf>
      <fill>
        <patternFill>
          <bgColor theme="2" tint="-0.749961851863155"/>
        </patternFill>
      </fill>
    </dxf>
    <dxf>
      <fill>
        <patternFill>
          <bgColor theme="2" tint="-0.749961851863155"/>
        </patternFill>
      </fill>
    </dxf>
    <dxf>
      <fill>
        <patternFill>
          <bgColor theme="2" tint="-0.749961851863155"/>
        </patternFill>
      </fill>
    </dxf>
    <dxf>
      <fill>
        <patternFill>
          <bgColor theme="2" tint="-0.749961851863155"/>
        </patternFill>
      </fill>
    </dxf>
    <dxf>
      <fill>
        <patternFill>
          <bgColor theme="2" tint="-0.749961851863155"/>
        </patternFill>
      </fill>
    </dxf>
    <dxf>
      <fill>
        <patternFill>
          <bgColor theme="2" tint="-0.749961851863155"/>
        </patternFill>
      </fill>
    </dxf>
    <dxf>
      <fill>
        <patternFill>
          <bgColor theme="2" tint="-0.749961851863155"/>
        </patternFill>
      </fill>
    </dxf>
    <dxf>
      <fill>
        <patternFill>
          <bgColor theme="2" tint="-0.749961851863155"/>
        </patternFill>
      </fill>
    </dxf>
    <dxf>
      <fill>
        <patternFill>
          <bgColor theme="2" tint="-0.749961851863155"/>
        </patternFill>
      </fill>
    </dxf>
    <dxf>
      <fill>
        <patternFill>
          <bgColor theme="2" tint="-0.749961851863155"/>
        </patternFill>
      </fill>
    </dxf>
    <dxf>
      <fill>
        <patternFill>
          <bgColor theme="2" tint="-0.749961851863155"/>
        </patternFill>
      </fill>
    </dxf>
    <dxf>
      <fill>
        <patternFill>
          <bgColor theme="2" tint="-0.749961851863155"/>
        </patternFill>
      </fill>
    </dxf>
    <dxf>
      <fill>
        <patternFill>
          <bgColor theme="2" tint="-0.749961851863155"/>
        </patternFill>
      </fill>
    </dxf>
    <dxf>
      <fill>
        <patternFill>
          <bgColor theme="2" tint="-0.749961851863155"/>
        </patternFill>
      </fill>
    </dxf>
    <dxf>
      <fill>
        <patternFill>
          <bgColor theme="2" tint="-0.749961851863155"/>
        </patternFill>
      </fill>
    </dxf>
    <dxf>
      <fill>
        <patternFill>
          <bgColor theme="2" tint="-0.749961851863155"/>
        </patternFill>
      </fill>
    </dxf>
    <dxf>
      <fill>
        <patternFill>
          <bgColor theme="2" tint="-0.749961851863155"/>
        </patternFill>
      </fill>
    </dxf>
    <dxf>
      <fill>
        <patternFill>
          <bgColor theme="2" tint="-0.749961851863155"/>
        </patternFill>
      </fill>
    </dxf>
    <dxf>
      <fill>
        <patternFill>
          <bgColor theme="2" tint="-0.749961851863155"/>
        </patternFill>
      </fill>
    </dxf>
    <dxf>
      <fill>
        <patternFill>
          <bgColor theme="2" tint="-0.749961851863155"/>
        </patternFill>
      </fill>
    </dxf>
    <dxf>
      <fill>
        <patternFill>
          <bgColor theme="2" tint="-0.749961851863155"/>
        </patternFill>
      </fill>
    </dxf>
    <dxf>
      <fill>
        <patternFill>
          <bgColor theme="2" tint="-0.749961851863155"/>
        </patternFill>
      </fill>
    </dxf>
    <dxf>
      <fill>
        <patternFill>
          <bgColor theme="2" tint="-0.749961851863155"/>
        </patternFill>
      </fill>
    </dxf>
    <dxf>
      <fill>
        <patternFill>
          <bgColor theme="2" tint="-0.749961851863155"/>
        </patternFill>
      </fill>
    </dxf>
    <dxf>
      <fill>
        <patternFill>
          <bgColor theme="2" tint="-0.749961851863155"/>
        </patternFill>
      </fill>
    </dxf>
    <dxf>
      <fill>
        <patternFill>
          <bgColor theme="2" tint="-0.749961851863155"/>
        </patternFill>
      </fill>
    </dxf>
    <dxf>
      <fill>
        <patternFill>
          <bgColor theme="2" tint="-0.749961851863155"/>
        </patternFill>
      </fill>
    </dxf>
    <dxf>
      <fill>
        <patternFill>
          <bgColor theme="2" tint="-0.749961851863155"/>
        </patternFill>
      </fill>
    </dxf>
    <dxf>
      <fill>
        <patternFill>
          <bgColor theme="2" tint="-0.749961851863155"/>
        </patternFill>
      </fill>
    </dxf>
  </dxfs>
  <tableStyles count="0" defaultTableStyle="TableStyleMedium2" defaultPivotStyle="PivotStyleLight16"/>
  <colors>
    <mruColors>
      <color rgb="FFDAE9F8"/>
      <color rgb="FFF4F4F4"/>
      <color rgb="FFD7E1EF"/>
      <color rgb="FF002749"/>
      <color rgb="FF78217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6</xdr:col>
      <xdr:colOff>631951</xdr:colOff>
      <xdr:row>28</xdr:row>
      <xdr:rowOff>19244</xdr:rowOff>
    </xdr:from>
    <xdr:to>
      <xdr:col>6</xdr:col>
      <xdr:colOff>631951</xdr:colOff>
      <xdr:row>29</xdr:row>
      <xdr:rowOff>0</xdr:rowOff>
    </xdr:to>
    <xdr:cxnSp macro="">
      <xdr:nvCxnSpPr>
        <xdr:cNvPr id="3" name="Straight Arrow Connector 2">
          <a:extLst>
            <a:ext uri="{FF2B5EF4-FFF2-40B4-BE49-F238E27FC236}">
              <a16:creationId xmlns:a16="http://schemas.microsoft.com/office/drawing/2014/main" id="{5C708A63-E19A-B8F4-6723-FC276ED3801B}"/>
            </a:ext>
          </a:extLst>
        </xdr:cNvPr>
        <xdr:cNvCxnSpPr/>
      </xdr:nvCxnSpPr>
      <xdr:spPr>
        <a:xfrm>
          <a:off x="8708762" y="8037739"/>
          <a:ext cx="0" cy="175144"/>
        </a:xfrm>
        <a:prstGeom prst="straightConnector1">
          <a:avLst/>
        </a:prstGeom>
        <a:ln>
          <a:tailEnd type="triangle"/>
        </a:ln>
      </xdr:spPr>
      <xdr:style>
        <a:lnRef idx="2">
          <a:schemeClr val="accent4"/>
        </a:lnRef>
        <a:fillRef idx="0">
          <a:schemeClr val="accent4"/>
        </a:fillRef>
        <a:effectRef idx="1">
          <a:schemeClr val="accent4"/>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647700</xdr:colOff>
      <xdr:row>18</xdr:row>
      <xdr:rowOff>695325</xdr:rowOff>
    </xdr:from>
    <xdr:to>
      <xdr:col>3</xdr:col>
      <xdr:colOff>647700</xdr:colOff>
      <xdr:row>19</xdr:row>
      <xdr:rowOff>165619</xdr:rowOff>
    </xdr:to>
    <xdr:cxnSp macro="">
      <xdr:nvCxnSpPr>
        <xdr:cNvPr id="2" name="Straight Arrow Connector 1">
          <a:extLst>
            <a:ext uri="{FF2B5EF4-FFF2-40B4-BE49-F238E27FC236}">
              <a16:creationId xmlns:a16="http://schemas.microsoft.com/office/drawing/2014/main" id="{3E4C2CC8-D195-4D2E-842E-C6E4D1CC499D}"/>
            </a:ext>
          </a:extLst>
        </xdr:cNvPr>
        <xdr:cNvCxnSpPr/>
      </xdr:nvCxnSpPr>
      <xdr:spPr>
        <a:xfrm>
          <a:off x="4905375" y="5381625"/>
          <a:ext cx="0" cy="175144"/>
        </a:xfrm>
        <a:prstGeom prst="straightConnector1">
          <a:avLst/>
        </a:prstGeom>
        <a:ln>
          <a:tailEnd type="triangle"/>
        </a:ln>
      </xdr:spPr>
      <xdr:style>
        <a:lnRef idx="2">
          <a:schemeClr val="accent4"/>
        </a:lnRef>
        <a:fillRef idx="0">
          <a:schemeClr val="accent4"/>
        </a:fillRef>
        <a:effectRef idx="1">
          <a:schemeClr val="accent4"/>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conceptconsultinggroup365.sharepoint.com/sites/consultants/Client%20Projects/EA/Distribution/EAD019%20-%20distribution%20connection%20examples/Shared%20working/Reconciliation%20spreadsheet/Reconciliation%20model_v3.xlsx" TargetMode="External"/><Relationship Id="rId1" Type="http://schemas.openxmlformats.org/officeDocument/2006/relationships/externalLinkPath" Target="https://electricityauthority.sharepoint.com/sites/prj.connectionpricing/Shared%20Documents/General/Implementation%20guidance/Reconciliation%20spreadsheet/Reconciliation%20model_v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of worked examples"/>
      <sheetName val="1. small connection"/>
      <sheetName val="2. remote mid-sized connection"/>
      <sheetName val="3. large connection"/>
      <sheetName val="3b. ITC calcs"/>
      <sheetName val="Distributor assumptions"/>
      <sheetName val="Network costing zones"/>
      <sheetName val="Cons group &amp; variant assumption"/>
      <sheetName val="Charge reconciliation summary"/>
      <sheetName val="List"/>
    </sheetNames>
    <sheetDataSet>
      <sheetData sheetId="0" refreshError="1"/>
      <sheetData sheetId="1" refreshError="1">
        <row r="25">
          <cell r="C25" t="str">
            <v>Variant 1a</v>
          </cell>
        </row>
      </sheetData>
      <sheetData sheetId="2" refreshError="1">
        <row r="20">
          <cell r="C20" t="str">
            <v>Variant 2a</v>
          </cell>
        </row>
      </sheetData>
      <sheetData sheetId="3" refreshError="1">
        <row r="22">
          <cell r="C22" t="str">
            <v>Variant 3b</v>
          </cell>
        </row>
      </sheetData>
      <sheetData sheetId="4" refreshError="1"/>
      <sheetData sheetId="5" refreshError="1"/>
      <sheetData sheetId="6" refreshError="1"/>
      <sheetData sheetId="7" refreshError="1"/>
      <sheetData sheetId="8" refreshError="1"/>
      <sheetData sheetId="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7481DA-3180-40F1-87A1-A8FBA1B6D33A}">
  <sheetPr>
    <tabColor theme="9" tint="0.59999389629810485"/>
    <pageSetUpPr fitToPage="1"/>
  </sheetPr>
  <dimension ref="A1:S24"/>
  <sheetViews>
    <sheetView zoomScaleNormal="100" workbookViewId="0">
      <pane ySplit="1" topLeftCell="A2" activePane="bottomLeft" state="frozen"/>
      <selection pane="bottomLeft" activeCell="C10" sqref="C10"/>
    </sheetView>
    <sheetView workbookViewId="1"/>
  </sheetViews>
  <sheetFormatPr defaultColWidth="8.85546875" defaultRowHeight="13.5" x14ac:dyDescent="0.25"/>
  <cols>
    <col min="1" max="1" width="10.7109375" style="23" customWidth="1"/>
    <col min="2" max="2" width="6.5703125" style="23" customWidth="1"/>
    <col min="3" max="3" width="82.85546875" style="23" customWidth="1"/>
    <col min="4" max="4" width="9.28515625" style="23" customWidth="1"/>
    <col min="5" max="9" width="5.7109375" style="23" customWidth="1"/>
    <col min="10" max="10" width="9.28515625" style="23" customWidth="1"/>
    <col min="11" max="14" width="5.7109375" style="23" customWidth="1"/>
    <col min="15" max="15" width="9.28515625" style="23" customWidth="1"/>
    <col min="16" max="16" width="40.7109375" style="23" customWidth="1"/>
    <col min="17" max="16384" width="8.85546875" style="23"/>
  </cols>
  <sheetData>
    <row r="1" spans="1:19" s="1" customFormat="1" ht="20.25" thickBot="1" x14ac:dyDescent="0.35">
      <c r="A1" s="1" t="s">
        <v>0</v>
      </c>
    </row>
    <row r="2" spans="1:19" ht="14.25" thickTop="1" x14ac:dyDescent="0.25">
      <c r="A2" s="148"/>
      <c r="B2" s="148"/>
      <c r="C2" s="148"/>
      <c r="D2" s="148"/>
      <c r="E2" s="148"/>
      <c r="F2" s="148"/>
      <c r="G2" s="148"/>
      <c r="H2" s="148"/>
      <c r="I2" s="148"/>
      <c r="J2" s="148"/>
      <c r="K2" s="148"/>
      <c r="L2" s="148"/>
      <c r="M2" s="148"/>
      <c r="N2" s="148"/>
      <c r="O2" s="148"/>
      <c r="P2" s="148"/>
      <c r="Q2" s="148"/>
    </row>
    <row r="3" spans="1:19" ht="147.75" x14ac:dyDescent="0.25">
      <c r="A3" s="24" t="s">
        <v>1</v>
      </c>
      <c r="B3" s="130" t="s">
        <v>2</v>
      </c>
      <c r="C3" s="24" t="s">
        <v>3</v>
      </c>
      <c r="D3" s="25" t="s">
        <v>4</v>
      </c>
      <c r="E3" s="25" t="s">
        <v>5</v>
      </c>
      <c r="F3" s="25" t="s">
        <v>6</v>
      </c>
      <c r="G3" s="25" t="s">
        <v>7</v>
      </c>
      <c r="H3" s="25" t="s">
        <v>8</v>
      </c>
      <c r="I3" s="25" t="s">
        <v>9</v>
      </c>
      <c r="J3" s="25" t="s">
        <v>10</v>
      </c>
      <c r="K3" s="25" t="s">
        <v>11</v>
      </c>
      <c r="L3" s="25" t="s">
        <v>12</v>
      </c>
      <c r="M3" s="25" t="s">
        <v>13</v>
      </c>
      <c r="N3" s="25" t="s">
        <v>14</v>
      </c>
      <c r="O3" s="25" t="s">
        <v>15</v>
      </c>
      <c r="P3" s="24" t="s">
        <v>16</v>
      </c>
      <c r="Q3" s="148"/>
      <c r="R3" s="45"/>
    </row>
    <row r="4" spans="1:19" s="136" customFormat="1" ht="27" customHeight="1" x14ac:dyDescent="0.25">
      <c r="A4" s="184" t="s">
        <v>17</v>
      </c>
      <c r="B4" s="131" t="s">
        <v>18</v>
      </c>
      <c r="C4" s="132" t="s">
        <v>19</v>
      </c>
      <c r="D4" s="133" t="s">
        <v>20</v>
      </c>
      <c r="E4" s="134" t="s">
        <v>21</v>
      </c>
      <c r="F4" s="134" t="s">
        <v>22</v>
      </c>
      <c r="G4" s="134" t="s">
        <v>22</v>
      </c>
      <c r="H4" s="134" t="s">
        <v>22</v>
      </c>
      <c r="I4" s="134" t="s">
        <v>22</v>
      </c>
      <c r="J4" s="134" t="s">
        <v>22</v>
      </c>
      <c r="K4" s="134" t="s">
        <v>22</v>
      </c>
      <c r="L4" s="134" t="s">
        <v>22</v>
      </c>
      <c r="M4" s="134" t="s">
        <v>22</v>
      </c>
      <c r="N4" s="134" t="s">
        <v>22</v>
      </c>
      <c r="O4" s="135" t="s">
        <v>23</v>
      </c>
      <c r="P4" s="187" t="s">
        <v>24</v>
      </c>
      <c r="Q4" s="149"/>
    </row>
    <row r="5" spans="1:19" s="136" customFormat="1" ht="27" customHeight="1" x14ac:dyDescent="0.25">
      <c r="A5" s="184"/>
      <c r="B5" s="131" t="s">
        <v>25</v>
      </c>
      <c r="C5" s="132" t="s">
        <v>26</v>
      </c>
      <c r="D5" s="133" t="s">
        <v>20</v>
      </c>
      <c r="E5" s="134" t="s">
        <v>21</v>
      </c>
      <c r="F5" s="134" t="s">
        <v>22</v>
      </c>
      <c r="G5" s="134" t="s">
        <v>21</v>
      </c>
      <c r="H5" s="134" t="s">
        <v>22</v>
      </c>
      <c r="I5" s="134" t="s">
        <v>22</v>
      </c>
      <c r="J5" s="134" t="s">
        <v>22</v>
      </c>
      <c r="K5" s="134" t="s">
        <v>22</v>
      </c>
      <c r="L5" s="134" t="s">
        <v>22</v>
      </c>
      <c r="M5" s="134" t="s">
        <v>22</v>
      </c>
      <c r="N5" s="134" t="s">
        <v>22</v>
      </c>
      <c r="O5" s="135" t="s">
        <v>23</v>
      </c>
      <c r="P5" s="188"/>
      <c r="Q5" s="149"/>
      <c r="S5" s="26"/>
    </row>
    <row r="6" spans="1:19" s="136" customFormat="1" ht="27" customHeight="1" x14ac:dyDescent="0.25">
      <c r="A6" s="184"/>
      <c r="B6" s="131" t="s">
        <v>27</v>
      </c>
      <c r="C6" s="132" t="s">
        <v>28</v>
      </c>
      <c r="D6" s="133" t="s">
        <v>20</v>
      </c>
      <c r="E6" s="134" t="s">
        <v>21</v>
      </c>
      <c r="F6" s="134" t="s">
        <v>22</v>
      </c>
      <c r="G6" s="134" t="s">
        <v>21</v>
      </c>
      <c r="H6" s="134" t="s">
        <v>22</v>
      </c>
      <c r="I6" s="134" t="s">
        <v>21</v>
      </c>
      <c r="J6" s="134" t="s">
        <v>22</v>
      </c>
      <c r="K6" s="134" t="s">
        <v>22</v>
      </c>
      <c r="L6" s="134" t="s">
        <v>22</v>
      </c>
      <c r="M6" s="134" t="s">
        <v>22</v>
      </c>
      <c r="N6" s="134" t="s">
        <v>22</v>
      </c>
      <c r="O6" s="135" t="s">
        <v>23</v>
      </c>
      <c r="P6" s="188"/>
      <c r="Q6" s="149"/>
      <c r="S6" s="137"/>
    </row>
    <row r="7" spans="1:19" s="136" customFormat="1" ht="27" customHeight="1" x14ac:dyDescent="0.25">
      <c r="A7" s="184"/>
      <c r="B7" s="131" t="s">
        <v>29</v>
      </c>
      <c r="C7" s="132" t="s">
        <v>30</v>
      </c>
      <c r="D7" s="133" t="s">
        <v>20</v>
      </c>
      <c r="E7" s="134" t="s">
        <v>22</v>
      </c>
      <c r="F7" s="134" t="s">
        <v>22</v>
      </c>
      <c r="G7" s="134" t="s">
        <v>22</v>
      </c>
      <c r="H7" s="134" t="s">
        <v>22</v>
      </c>
      <c r="I7" s="134" t="s">
        <v>21</v>
      </c>
      <c r="J7" s="134" t="s">
        <v>22</v>
      </c>
      <c r="K7" s="134" t="s">
        <v>22</v>
      </c>
      <c r="L7" s="134" t="s">
        <v>22</v>
      </c>
      <c r="M7" s="134" t="s">
        <v>22</v>
      </c>
      <c r="N7" s="134" t="s">
        <v>22</v>
      </c>
      <c r="O7" s="135" t="s">
        <v>23</v>
      </c>
      <c r="P7" s="188"/>
      <c r="Q7" s="149"/>
      <c r="S7" s="137"/>
    </row>
    <row r="8" spans="1:19" s="136" customFormat="1" ht="27" customHeight="1" x14ac:dyDescent="0.25">
      <c r="A8" s="184"/>
      <c r="B8" s="131" t="s">
        <v>31</v>
      </c>
      <c r="C8" s="132" t="s">
        <v>32</v>
      </c>
      <c r="D8" s="133" t="s">
        <v>33</v>
      </c>
      <c r="E8" s="134" t="s">
        <v>22</v>
      </c>
      <c r="F8" s="134" t="s">
        <v>22</v>
      </c>
      <c r="G8" s="134" t="s">
        <v>22</v>
      </c>
      <c r="H8" s="134" t="s">
        <v>22</v>
      </c>
      <c r="I8" s="134" t="s">
        <v>21</v>
      </c>
      <c r="J8" s="134" t="s">
        <v>22</v>
      </c>
      <c r="K8" s="134" t="s">
        <v>22</v>
      </c>
      <c r="L8" s="134" t="s">
        <v>22</v>
      </c>
      <c r="M8" s="134" t="s">
        <v>22</v>
      </c>
      <c r="N8" s="134" t="s">
        <v>22</v>
      </c>
      <c r="O8" s="135" t="s">
        <v>34</v>
      </c>
      <c r="P8" s="188"/>
      <c r="Q8" s="149"/>
      <c r="R8" s="138"/>
    </row>
    <row r="9" spans="1:19" s="136" customFormat="1" ht="27" customHeight="1" x14ac:dyDescent="0.25">
      <c r="A9" s="184"/>
      <c r="B9" s="131" t="s">
        <v>35</v>
      </c>
      <c r="C9" s="132" t="s">
        <v>36</v>
      </c>
      <c r="D9" s="133" t="s">
        <v>33</v>
      </c>
      <c r="E9" s="134" t="s">
        <v>22</v>
      </c>
      <c r="F9" s="134" t="s">
        <v>22</v>
      </c>
      <c r="G9" s="134" t="s">
        <v>22</v>
      </c>
      <c r="H9" s="134" t="s">
        <v>22</v>
      </c>
      <c r="I9" s="134" t="s">
        <v>21</v>
      </c>
      <c r="J9" s="134" t="s">
        <v>22</v>
      </c>
      <c r="K9" s="134" t="s">
        <v>21</v>
      </c>
      <c r="L9" s="134" t="s">
        <v>22</v>
      </c>
      <c r="M9" s="134" t="s">
        <v>22</v>
      </c>
      <c r="N9" s="134" t="s">
        <v>22</v>
      </c>
      <c r="O9" s="135" t="s">
        <v>34</v>
      </c>
      <c r="P9" s="188"/>
      <c r="Q9" s="149"/>
      <c r="R9" s="138"/>
    </row>
    <row r="10" spans="1:19" s="136" customFormat="1" ht="27" customHeight="1" x14ac:dyDescent="0.25">
      <c r="A10" s="184"/>
      <c r="B10" s="131" t="s">
        <v>37</v>
      </c>
      <c r="C10" s="132" t="s">
        <v>38</v>
      </c>
      <c r="D10" s="133" t="s">
        <v>33</v>
      </c>
      <c r="E10" s="134" t="s">
        <v>22</v>
      </c>
      <c r="F10" s="134" t="s">
        <v>22</v>
      </c>
      <c r="G10" s="134" t="s">
        <v>22</v>
      </c>
      <c r="H10" s="134" t="s">
        <v>22</v>
      </c>
      <c r="I10" s="134" t="s">
        <v>21</v>
      </c>
      <c r="J10" s="134" t="s">
        <v>22</v>
      </c>
      <c r="K10" s="134" t="s">
        <v>22</v>
      </c>
      <c r="L10" s="134" t="s">
        <v>21</v>
      </c>
      <c r="M10" s="134" t="s">
        <v>22</v>
      </c>
      <c r="N10" s="134" t="s">
        <v>22</v>
      </c>
      <c r="O10" s="135" t="s">
        <v>34</v>
      </c>
      <c r="P10" s="189"/>
      <c r="Q10" s="149"/>
      <c r="R10" s="138"/>
    </row>
    <row r="11" spans="1:19" s="136" customFormat="1" ht="27" customHeight="1" x14ac:dyDescent="0.25">
      <c r="A11" s="185" t="s">
        <v>39</v>
      </c>
      <c r="B11" s="139" t="s">
        <v>40</v>
      </c>
      <c r="C11" s="140" t="s">
        <v>41</v>
      </c>
      <c r="D11" s="141" t="s">
        <v>42</v>
      </c>
      <c r="E11" s="142" t="s">
        <v>22</v>
      </c>
      <c r="F11" s="142" t="s">
        <v>22</v>
      </c>
      <c r="G11" s="142" t="s">
        <v>22</v>
      </c>
      <c r="H11" s="142" t="s">
        <v>22</v>
      </c>
      <c r="I11" s="142" t="s">
        <v>21</v>
      </c>
      <c r="J11" s="143" t="s">
        <v>43</v>
      </c>
      <c r="K11" s="142" t="s">
        <v>22</v>
      </c>
      <c r="L11" s="142" t="s">
        <v>22</v>
      </c>
      <c r="M11" s="142" t="s">
        <v>22</v>
      </c>
      <c r="N11" s="142" t="s">
        <v>22</v>
      </c>
      <c r="O11" s="141" t="s">
        <v>34</v>
      </c>
      <c r="P11" s="190" t="s">
        <v>44</v>
      </c>
      <c r="Q11" s="149"/>
      <c r="S11" s="26"/>
    </row>
    <row r="12" spans="1:19" s="136" customFormat="1" ht="27" customHeight="1" x14ac:dyDescent="0.25">
      <c r="A12" s="186"/>
      <c r="B12" s="139" t="s">
        <v>45</v>
      </c>
      <c r="C12" s="140" t="s">
        <v>46</v>
      </c>
      <c r="D12" s="141" t="s">
        <v>42</v>
      </c>
      <c r="E12" s="142" t="s">
        <v>22</v>
      </c>
      <c r="F12" s="142" t="s">
        <v>21</v>
      </c>
      <c r="G12" s="142" t="s">
        <v>22</v>
      </c>
      <c r="H12" s="142" t="s">
        <v>22</v>
      </c>
      <c r="I12" s="142" t="s">
        <v>21</v>
      </c>
      <c r="J12" s="143" t="s">
        <v>43</v>
      </c>
      <c r="K12" s="142" t="s">
        <v>22</v>
      </c>
      <c r="L12" s="142" t="s">
        <v>22</v>
      </c>
      <c r="M12" s="142" t="s">
        <v>22</v>
      </c>
      <c r="N12" s="142" t="s">
        <v>22</v>
      </c>
      <c r="O12" s="141" t="s">
        <v>34</v>
      </c>
      <c r="P12" s="191"/>
      <c r="Q12" s="149"/>
      <c r="S12" s="26"/>
    </row>
    <row r="13" spans="1:19" s="136" customFormat="1" ht="27" customHeight="1" x14ac:dyDescent="0.25">
      <c r="A13" s="192" t="s">
        <v>47</v>
      </c>
      <c r="B13" s="144" t="s">
        <v>48</v>
      </c>
      <c r="C13" s="145" t="s">
        <v>49</v>
      </c>
      <c r="D13" s="133" t="s">
        <v>20</v>
      </c>
      <c r="E13" s="134" t="s">
        <v>22</v>
      </c>
      <c r="F13" s="134" t="s">
        <v>22</v>
      </c>
      <c r="G13" s="134" t="s">
        <v>22</v>
      </c>
      <c r="H13" s="134" t="s">
        <v>22</v>
      </c>
      <c r="I13" s="134" t="s">
        <v>21</v>
      </c>
      <c r="J13" s="134" t="s">
        <v>22</v>
      </c>
      <c r="K13" s="134" t="s">
        <v>22</v>
      </c>
      <c r="L13" s="134" t="s">
        <v>22</v>
      </c>
      <c r="M13" s="134" t="s">
        <v>22</v>
      </c>
      <c r="N13" s="134" t="s">
        <v>22</v>
      </c>
      <c r="O13" s="135" t="s">
        <v>34</v>
      </c>
      <c r="P13" s="193" t="s">
        <v>50</v>
      </c>
      <c r="Q13" s="149"/>
      <c r="R13" s="138"/>
    </row>
    <row r="14" spans="1:19" s="136" customFormat="1" ht="27" customHeight="1" x14ac:dyDescent="0.25">
      <c r="A14" s="192"/>
      <c r="B14" s="144" t="s">
        <v>51</v>
      </c>
      <c r="C14" s="145" t="s">
        <v>52</v>
      </c>
      <c r="D14" s="133" t="s">
        <v>20</v>
      </c>
      <c r="E14" s="134" t="s">
        <v>22</v>
      </c>
      <c r="F14" s="134" t="s">
        <v>22</v>
      </c>
      <c r="G14" s="134" t="s">
        <v>22</v>
      </c>
      <c r="H14" s="134" t="s">
        <v>22</v>
      </c>
      <c r="I14" s="134" t="s">
        <v>21</v>
      </c>
      <c r="J14" s="134" t="s">
        <v>22</v>
      </c>
      <c r="K14" s="134" t="s">
        <v>22</v>
      </c>
      <c r="L14" s="134" t="s">
        <v>22</v>
      </c>
      <c r="M14" s="134" t="s">
        <v>21</v>
      </c>
      <c r="N14" s="134" t="s">
        <v>22</v>
      </c>
      <c r="O14" s="135" t="s">
        <v>34</v>
      </c>
      <c r="P14" s="194"/>
      <c r="Q14" s="149"/>
      <c r="R14" s="138"/>
      <c r="S14" s="26"/>
    </row>
    <row r="15" spans="1:19" s="136" customFormat="1" ht="27" customHeight="1" x14ac:dyDescent="0.25">
      <c r="A15" s="192"/>
      <c r="B15" s="144" t="s">
        <v>53</v>
      </c>
      <c r="C15" s="145" t="s">
        <v>54</v>
      </c>
      <c r="D15" s="133" t="s">
        <v>20</v>
      </c>
      <c r="E15" s="134" t="s">
        <v>22</v>
      </c>
      <c r="F15" s="134" t="s">
        <v>22</v>
      </c>
      <c r="G15" s="134" t="s">
        <v>22</v>
      </c>
      <c r="H15" s="134" t="s">
        <v>22</v>
      </c>
      <c r="I15" s="134" t="s">
        <v>21</v>
      </c>
      <c r="J15" s="134" t="s">
        <v>22</v>
      </c>
      <c r="K15" s="134" t="s">
        <v>22</v>
      </c>
      <c r="L15" s="134" t="s">
        <v>22</v>
      </c>
      <c r="M15" s="134" t="s">
        <v>22</v>
      </c>
      <c r="N15" s="134" t="s">
        <v>21</v>
      </c>
      <c r="O15" s="135" t="s">
        <v>34</v>
      </c>
      <c r="P15" s="194"/>
      <c r="Q15" s="149"/>
      <c r="R15" s="138"/>
      <c r="S15" s="137"/>
    </row>
    <row r="16" spans="1:19" s="136" customFormat="1" ht="27" customHeight="1" x14ac:dyDescent="0.25">
      <c r="A16" s="192"/>
      <c r="B16" s="144" t="s">
        <v>55</v>
      </c>
      <c r="C16" s="145" t="s">
        <v>56</v>
      </c>
      <c r="D16" s="133" t="s">
        <v>20</v>
      </c>
      <c r="E16" s="134" t="s">
        <v>22</v>
      </c>
      <c r="F16" s="134" t="s">
        <v>22</v>
      </c>
      <c r="G16" s="134" t="s">
        <v>22</v>
      </c>
      <c r="H16" s="134" t="s">
        <v>22</v>
      </c>
      <c r="I16" s="134" t="s">
        <v>21</v>
      </c>
      <c r="J16" s="134" t="s">
        <v>22</v>
      </c>
      <c r="K16" s="134" t="s">
        <v>22</v>
      </c>
      <c r="L16" s="134" t="s">
        <v>22</v>
      </c>
      <c r="M16" s="134" t="s">
        <v>22</v>
      </c>
      <c r="N16" s="134" t="s">
        <v>21</v>
      </c>
      <c r="O16" s="135" t="s">
        <v>34</v>
      </c>
      <c r="P16" s="194"/>
      <c r="Q16" s="149"/>
      <c r="R16" s="138"/>
      <c r="S16" s="137"/>
    </row>
    <row r="17" spans="1:17" x14ac:dyDescent="0.25">
      <c r="A17" s="148"/>
      <c r="B17" s="148"/>
      <c r="C17" s="148"/>
      <c r="D17" s="148"/>
      <c r="E17" s="148"/>
      <c r="F17" s="148"/>
      <c r="G17" s="148"/>
      <c r="H17" s="148"/>
      <c r="I17" s="148"/>
      <c r="J17" s="148"/>
      <c r="K17" s="148"/>
      <c r="L17" s="148"/>
      <c r="M17" s="148"/>
      <c r="N17" s="148"/>
      <c r="O17" s="148"/>
      <c r="P17" s="148"/>
      <c r="Q17" s="148"/>
    </row>
    <row r="18" spans="1:17" ht="15" x14ac:dyDescent="0.25">
      <c r="C18" s="146"/>
    </row>
    <row r="19" spans="1:17" ht="15" x14ac:dyDescent="0.25">
      <c r="C19" s="146"/>
    </row>
    <row r="20" spans="1:17" ht="15" x14ac:dyDescent="0.25">
      <c r="C20" s="146"/>
    </row>
    <row r="21" spans="1:17" ht="15" x14ac:dyDescent="0.25">
      <c r="C21" s="146"/>
    </row>
    <row r="22" spans="1:17" ht="15" x14ac:dyDescent="0.25">
      <c r="C22" s="147"/>
    </row>
    <row r="23" spans="1:17" ht="15" x14ac:dyDescent="0.25">
      <c r="C23" s="146"/>
    </row>
    <row r="24" spans="1:17" ht="15" x14ac:dyDescent="0.25">
      <c r="C24" s="146"/>
    </row>
  </sheetData>
  <mergeCells count="6">
    <mergeCell ref="A4:A10"/>
    <mergeCell ref="A11:A12"/>
    <mergeCell ref="P4:P10"/>
    <mergeCell ref="P11:P12"/>
    <mergeCell ref="A13:A16"/>
    <mergeCell ref="P13:P16"/>
  </mergeCells>
  <pageMargins left="0.25" right="0.25" top="0.75" bottom="0.75" header="0.3" footer="0.3"/>
  <pageSetup paperSize="9" scale="71" orientation="landscape" r:id="rId1"/>
  <headerFooter>
    <oddHeader>&amp;L&amp;"Calibri"&amp;8&amp;K000000 Sensitivity: General&amp;1#_x000D_</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F34294-BA30-4B73-B7BE-2CE2597A6D5F}">
  <sheetPr>
    <tabColor theme="4" tint="0.59999389629810485"/>
  </sheetPr>
  <dimension ref="A1:X184"/>
  <sheetViews>
    <sheetView zoomScale="70" zoomScaleNormal="70" workbookViewId="0">
      <pane ySplit="1" topLeftCell="A60" activePane="bottomLeft" state="frozen"/>
      <selection activeCell="C1" sqref="C1"/>
      <selection pane="bottomLeft" activeCell="E35" sqref="E35"/>
    </sheetView>
    <sheetView workbookViewId="1">
      <pane ySplit="1" topLeftCell="A2" activePane="bottomLeft" state="frozen"/>
      <selection pane="bottomLeft" sqref="A1:XFD1"/>
    </sheetView>
  </sheetViews>
  <sheetFormatPr defaultColWidth="9.28515625" defaultRowHeight="15" outlineLevelRow="2" x14ac:dyDescent="0.25"/>
  <cols>
    <col min="1" max="1" width="9.28515625" style="2" customWidth="1"/>
    <col min="2" max="2" width="42.28515625" style="2" customWidth="1"/>
    <col min="3" max="3" width="10.7109375" style="2" customWidth="1"/>
    <col min="4" max="24" width="18.7109375" style="2" customWidth="1"/>
    <col min="25" max="26" width="12.7109375" style="2" customWidth="1"/>
    <col min="27" max="16384" width="9.28515625" style="2"/>
  </cols>
  <sheetData>
    <row r="1" spans="1:24" s="1" customFormat="1" ht="20.25" thickBot="1" x14ac:dyDescent="0.35">
      <c r="A1" s="1" t="s">
        <v>57</v>
      </c>
      <c r="H1" s="1" t="s">
        <v>58</v>
      </c>
      <c r="I1" s="153" t="s">
        <v>59</v>
      </c>
      <c r="J1" s="154" t="s">
        <v>60</v>
      </c>
      <c r="K1" s="155" t="s">
        <v>61</v>
      </c>
      <c r="L1" s="156" t="s">
        <v>62</v>
      </c>
      <c r="M1" s="157" t="s">
        <v>63</v>
      </c>
    </row>
    <row r="2" spans="1:24" s="152" customFormat="1" ht="16.5" thickTop="1" thickBot="1" x14ac:dyDescent="0.3">
      <c r="A2" s="152" t="s">
        <v>64</v>
      </c>
    </row>
    <row r="3" spans="1:24" ht="15.75" thickTop="1" x14ac:dyDescent="0.25"/>
    <row r="4" spans="1:24" s="151" customFormat="1" ht="18" thickBot="1" x14ac:dyDescent="0.35">
      <c r="A4" s="151" t="s">
        <v>65</v>
      </c>
    </row>
    <row r="5" spans="1:24" ht="15.75" outlineLevel="1" thickTop="1" x14ac:dyDescent="0.25"/>
    <row r="6" spans="1:24" outlineLevel="1" x14ac:dyDescent="0.25">
      <c r="B6" s="5" t="s">
        <v>66</v>
      </c>
      <c r="C6" s="5"/>
      <c r="K6" s="5" t="s">
        <v>67</v>
      </c>
      <c r="L6" s="5"/>
      <c r="M6" s="5"/>
    </row>
    <row r="7" spans="1:24" outlineLevel="1" x14ac:dyDescent="0.25"/>
    <row r="8" spans="1:24" ht="43.15" customHeight="1" outlineLevel="1" x14ac:dyDescent="0.25">
      <c r="B8" s="206" t="s">
        <v>68</v>
      </c>
      <c r="C8" s="206"/>
      <c r="D8" s="206"/>
      <c r="E8" s="206"/>
      <c r="F8" s="206"/>
      <c r="G8" s="206"/>
      <c r="H8" s="206"/>
      <c r="I8" s="206"/>
      <c r="K8" s="206" t="s">
        <v>69</v>
      </c>
      <c r="L8" s="206"/>
      <c r="M8" s="206"/>
      <c r="N8" s="206"/>
      <c r="O8" s="206"/>
      <c r="P8" s="206"/>
      <c r="Q8" s="206"/>
      <c r="R8" s="206"/>
      <c r="W8" s="22"/>
      <c r="X8" s="22"/>
    </row>
    <row r="9" spans="1:24" outlineLevel="1" x14ac:dyDescent="0.25">
      <c r="B9" s="79"/>
      <c r="C9" s="79"/>
      <c r="D9" s="79"/>
      <c r="E9" s="79"/>
      <c r="F9" s="79"/>
      <c r="G9" s="79"/>
      <c r="H9" s="22"/>
      <c r="I9" s="79"/>
      <c r="J9" s="79"/>
      <c r="K9" s="79"/>
      <c r="L9" s="79"/>
      <c r="M9" s="79"/>
      <c r="N9" s="79"/>
      <c r="O9" s="79"/>
      <c r="Q9" s="22"/>
      <c r="R9" s="22"/>
      <c r="S9" s="22"/>
      <c r="T9" s="22"/>
      <c r="U9" s="22"/>
      <c r="V9" s="22"/>
      <c r="W9" s="22"/>
      <c r="X9" s="22"/>
    </row>
    <row r="10" spans="1:24" outlineLevel="1" x14ac:dyDescent="0.25">
      <c r="B10" s="5" t="s">
        <v>70</v>
      </c>
      <c r="C10" s="79"/>
      <c r="D10" s="79"/>
      <c r="E10" s="79"/>
      <c r="F10" s="79"/>
      <c r="G10" s="79"/>
      <c r="H10" s="79"/>
      <c r="J10" s="79"/>
      <c r="K10" s="79"/>
      <c r="L10" s="79"/>
      <c r="M10" s="79"/>
      <c r="N10" s="79"/>
      <c r="O10" s="79"/>
      <c r="P10" s="79"/>
      <c r="Q10" s="79"/>
      <c r="R10" s="22"/>
      <c r="S10" s="22"/>
      <c r="T10" s="22"/>
      <c r="U10" s="22"/>
      <c r="V10" s="22"/>
      <c r="W10" s="22"/>
      <c r="X10" s="22"/>
    </row>
    <row r="11" spans="1:24" outlineLevel="1" x14ac:dyDescent="0.25">
      <c r="B11" s="79"/>
      <c r="C11" s="79"/>
      <c r="D11" s="79"/>
      <c r="E11" s="79"/>
      <c r="F11" s="79"/>
      <c r="G11" s="79"/>
      <c r="H11" s="79"/>
      <c r="J11" s="79"/>
      <c r="K11" s="79"/>
      <c r="L11" s="79"/>
      <c r="M11" s="79"/>
      <c r="N11" s="79"/>
      <c r="O11" s="79"/>
      <c r="P11" s="79"/>
      <c r="Q11" s="79"/>
      <c r="R11" s="22"/>
      <c r="S11" s="22"/>
      <c r="T11" s="22"/>
      <c r="U11" s="22"/>
      <c r="V11" s="22"/>
      <c r="W11" s="22"/>
      <c r="X11" s="22"/>
    </row>
    <row r="12" spans="1:24" ht="72" customHeight="1" outlineLevel="1" x14ac:dyDescent="0.25">
      <c r="B12" s="200" t="s">
        <v>71</v>
      </c>
      <c r="C12" s="200"/>
      <c r="D12" s="200"/>
      <c r="E12" s="200"/>
      <c r="F12" s="200"/>
      <c r="G12" s="200"/>
      <c r="H12" s="200"/>
      <c r="I12" s="200"/>
      <c r="J12" s="200"/>
      <c r="K12" s="200"/>
      <c r="L12" s="200"/>
      <c r="M12" s="200"/>
      <c r="N12" s="200"/>
      <c r="O12" s="200"/>
      <c r="P12" s="200"/>
      <c r="Q12" s="200"/>
      <c r="R12" s="200"/>
      <c r="S12" s="22"/>
      <c r="T12" s="22"/>
      <c r="U12" s="22"/>
      <c r="V12" s="22"/>
      <c r="W12" s="22"/>
      <c r="X12" s="22"/>
    </row>
    <row r="13" spans="1:24" outlineLevel="1" x14ac:dyDescent="0.25">
      <c r="B13" s="79"/>
      <c r="C13" s="79"/>
      <c r="D13" s="79"/>
      <c r="E13" s="79"/>
      <c r="F13" s="79"/>
      <c r="G13" s="79"/>
      <c r="H13" s="22"/>
      <c r="I13" s="79"/>
      <c r="J13" s="79"/>
      <c r="K13" s="79"/>
      <c r="L13" s="79"/>
      <c r="M13" s="79"/>
      <c r="N13" s="79"/>
      <c r="O13" s="79"/>
      <c r="Q13" s="22"/>
      <c r="R13" s="22"/>
      <c r="S13" s="22"/>
      <c r="T13" s="22"/>
      <c r="U13" s="22"/>
      <c r="V13" s="22"/>
      <c r="W13" s="22"/>
      <c r="X13" s="22"/>
    </row>
    <row r="14" spans="1:24" s="150" customFormat="1" ht="18" thickBot="1" x14ac:dyDescent="0.35">
      <c r="A14" s="150" t="s">
        <v>72</v>
      </c>
    </row>
    <row r="15" spans="1:24" ht="15.75" outlineLevel="1" thickTop="1" x14ac:dyDescent="0.25"/>
    <row r="16" spans="1:24" outlineLevel="1" x14ac:dyDescent="0.25">
      <c r="B16" s="4" t="s">
        <v>73</v>
      </c>
    </row>
    <row r="17" spans="1:18" outlineLevel="1" x14ac:dyDescent="0.25">
      <c r="A17" s="27" t="s">
        <v>18</v>
      </c>
      <c r="B17" s="28" t="s">
        <v>19</v>
      </c>
    </row>
    <row r="18" spans="1:18" outlineLevel="1" x14ac:dyDescent="0.25">
      <c r="A18" s="27" t="s">
        <v>25</v>
      </c>
      <c r="B18" s="28" t="s">
        <v>26</v>
      </c>
    </row>
    <row r="19" spans="1:18" outlineLevel="1" x14ac:dyDescent="0.25">
      <c r="A19" s="27" t="s">
        <v>27</v>
      </c>
      <c r="B19" s="28" t="s">
        <v>28</v>
      </c>
    </row>
    <row r="20" spans="1:18" outlineLevel="1" x14ac:dyDescent="0.25">
      <c r="A20" s="27" t="s">
        <v>29</v>
      </c>
      <c r="B20" s="28" t="s">
        <v>30</v>
      </c>
    </row>
    <row r="21" spans="1:18" outlineLevel="1" x14ac:dyDescent="0.25">
      <c r="A21" s="27" t="s">
        <v>31</v>
      </c>
      <c r="B21" s="29" t="s">
        <v>32</v>
      </c>
    </row>
    <row r="22" spans="1:18" outlineLevel="1" x14ac:dyDescent="0.25">
      <c r="A22" s="27" t="s">
        <v>35</v>
      </c>
      <c r="B22" s="28" t="s">
        <v>36</v>
      </c>
    </row>
    <row r="23" spans="1:18" outlineLevel="1" x14ac:dyDescent="0.25">
      <c r="A23" s="27" t="s">
        <v>37</v>
      </c>
      <c r="B23" s="28" t="s">
        <v>38</v>
      </c>
    </row>
    <row r="24" spans="1:18" ht="15.75" outlineLevel="1" thickBot="1" x14ac:dyDescent="0.3">
      <c r="A24" s="27"/>
      <c r="B24" s="28"/>
    </row>
    <row r="25" spans="1:18" ht="19.5" outlineLevel="1" thickBot="1" x14ac:dyDescent="0.35">
      <c r="A25" s="27"/>
      <c r="B25" s="158" t="s">
        <v>74</v>
      </c>
      <c r="C25" s="158"/>
      <c r="D25" s="159" t="s">
        <v>459</v>
      </c>
    </row>
    <row r="26" spans="1:18" outlineLevel="1" x14ac:dyDescent="0.25"/>
    <row r="27" spans="1:18" s="151" customFormat="1" ht="18" thickBot="1" x14ac:dyDescent="0.35">
      <c r="A27" s="151" t="s">
        <v>75</v>
      </c>
    </row>
    <row r="28" spans="1:18" ht="15.75" outlineLevel="1" thickTop="1" x14ac:dyDescent="0.25"/>
    <row r="29" spans="1:18" ht="28.9" customHeight="1" outlineLevel="1" x14ac:dyDescent="0.25">
      <c r="B29" s="199" t="s">
        <v>76</v>
      </c>
      <c r="C29" s="199"/>
      <c r="D29" s="199"/>
      <c r="E29" s="199"/>
      <c r="F29" s="199"/>
      <c r="G29" s="199"/>
      <c r="H29" s="199"/>
      <c r="I29" s="199"/>
      <c r="J29" s="199"/>
      <c r="K29" s="199"/>
      <c r="L29" s="199"/>
      <c r="M29" s="199"/>
      <c r="N29" s="4"/>
      <c r="O29" s="4"/>
      <c r="P29" s="4"/>
      <c r="Q29" s="4"/>
      <c r="R29" s="4"/>
    </row>
    <row r="30" spans="1:18" outlineLevel="1" x14ac:dyDescent="0.25"/>
    <row r="31" spans="1:18" s="8" customFormat="1" ht="15.75" outlineLevel="1" thickBot="1" x14ac:dyDescent="0.3">
      <c r="A31" s="8" t="str">
        <f>"Incremental cost and connection charge"&amp;" for "&amp;Sc1_variant</f>
        <v>Incremental cost and connection charge for Variant 1d</v>
      </c>
    </row>
    <row r="32" spans="1:18" outlineLevel="1" x14ac:dyDescent="0.25"/>
    <row r="33" spans="2:19" outlineLevel="1" x14ac:dyDescent="0.25">
      <c r="B33" s="128" t="s">
        <v>77</v>
      </c>
      <c r="C33" s="129"/>
      <c r="D33" s="163" t="str">
        <f>_xlfn.XLOOKUP(Sc1_variant,D78:J78,D79:J79)</f>
        <v>No</v>
      </c>
    </row>
    <row r="34" spans="2:19" outlineLevel="1" x14ac:dyDescent="0.25">
      <c r="B34" s="197" t="s">
        <v>78</v>
      </c>
      <c r="C34" s="198"/>
      <c r="D34" s="163" t="str">
        <f>_xlfn.XLOOKUP(Sc1_variant,D69:J69,D70:J70)</f>
        <v>Yes</v>
      </c>
    </row>
    <row r="35" spans="2:19" outlineLevel="1" x14ac:dyDescent="0.25"/>
    <row r="36" spans="2:19" ht="30" outlineLevel="1" x14ac:dyDescent="0.25">
      <c r="B36" s="7" t="s">
        <v>79</v>
      </c>
      <c r="C36" s="31" t="s">
        <v>80</v>
      </c>
      <c r="D36" s="16" t="s">
        <v>81</v>
      </c>
      <c r="E36" s="16" t="s">
        <v>82</v>
      </c>
      <c r="F36" s="196" t="s">
        <v>3</v>
      </c>
      <c r="G36" s="196"/>
      <c r="H36" s="196"/>
      <c r="I36" s="196"/>
      <c r="J36" s="196" t="s">
        <v>83</v>
      </c>
      <c r="K36" s="196"/>
      <c r="L36" s="196"/>
      <c r="M36" s="196"/>
    </row>
    <row r="37" spans="2:19" outlineLevel="1" x14ac:dyDescent="0.25">
      <c r="B37" s="160" t="s">
        <v>84</v>
      </c>
      <c r="C37" s="32" t="s">
        <v>85</v>
      </c>
      <c r="D37" s="15">
        <f>IF($D$33="No",_xlfn.XLOOKUP(Sc1_variant,$D$78:$J$78,$D$86:$J$86),IF($D$33="Yes",_xlfn.XLOOKUP(Sc1_variant,$D$78:$J$78,$D$93:$J$93),"error"))</f>
        <v>1400</v>
      </c>
      <c r="E37" s="32"/>
      <c r="F37" s="195" t="s">
        <v>86</v>
      </c>
      <c r="G37" s="195"/>
      <c r="H37" s="195"/>
      <c r="I37" s="195"/>
      <c r="J37" s="195" t="s">
        <v>87</v>
      </c>
      <c r="K37" s="195"/>
      <c r="L37" s="195"/>
      <c r="M37" s="195"/>
    </row>
    <row r="38" spans="2:19" outlineLevel="1" x14ac:dyDescent="0.25">
      <c r="B38" s="160" t="s">
        <v>88</v>
      </c>
      <c r="C38" s="32" t="s">
        <v>85</v>
      </c>
      <c r="D38" s="15">
        <f>_xlfn.XLOOKUP(Sc1_variant,$D$114:$J$114,$D$120:$J$120)</f>
        <v>1322.5</v>
      </c>
      <c r="E38" s="32"/>
      <c r="F38" s="195" t="s">
        <v>89</v>
      </c>
      <c r="G38" s="195"/>
      <c r="H38" s="195"/>
      <c r="I38" s="195"/>
      <c r="J38" s="195" t="s">
        <v>90</v>
      </c>
      <c r="K38" s="195"/>
      <c r="L38" s="195"/>
      <c r="M38" s="195"/>
    </row>
    <row r="39" spans="2:19" ht="49.9" customHeight="1" outlineLevel="1" x14ac:dyDescent="0.25">
      <c r="B39" s="7" t="s">
        <v>91</v>
      </c>
      <c r="C39" s="31" t="s">
        <v>85</v>
      </c>
      <c r="D39" s="164">
        <f>SUM(D37:D38)</f>
        <v>2722.5</v>
      </c>
      <c r="E39" s="166">
        <f>_xlfn.XLOOKUP(Sc1_variant,$D$124:$J$124,$D$125:$J$125)</f>
        <v>2722.5</v>
      </c>
      <c r="F39" s="195"/>
      <c r="G39" s="195"/>
      <c r="H39" s="195"/>
      <c r="I39" s="195"/>
      <c r="J39" s="195" t="s">
        <v>92</v>
      </c>
      <c r="K39" s="195"/>
      <c r="L39" s="195"/>
      <c r="M39" s="195"/>
    </row>
    <row r="40" spans="2:19" outlineLevel="1" x14ac:dyDescent="0.25">
      <c r="B40" s="4"/>
    </row>
    <row r="41" spans="2:19" outlineLevel="1" x14ac:dyDescent="0.25">
      <c r="B41" s="31" t="s">
        <v>93</v>
      </c>
      <c r="C41" s="31" t="s">
        <v>80</v>
      </c>
      <c r="D41" s="16" t="s">
        <v>81</v>
      </c>
      <c r="E41" s="16" t="s">
        <v>82</v>
      </c>
      <c r="F41" s="196" t="s">
        <v>3</v>
      </c>
      <c r="G41" s="196"/>
      <c r="H41" s="196"/>
      <c r="I41" s="196"/>
      <c r="J41" s="196" t="s">
        <v>83</v>
      </c>
      <c r="K41" s="196"/>
      <c r="L41" s="196"/>
      <c r="M41" s="196"/>
    </row>
    <row r="42" spans="2:19" ht="14.45" customHeight="1" outlineLevel="1" x14ac:dyDescent="0.25">
      <c r="B42" s="122" t="s">
        <v>94</v>
      </c>
      <c r="C42" s="32" t="s">
        <v>85</v>
      </c>
      <c r="D42" s="15">
        <f>_xlfn.XLOOKUP(Sc1_variant,D131:J131,D135:J135)</f>
        <v>0</v>
      </c>
      <c r="E42" s="17">
        <f>D42</f>
        <v>0</v>
      </c>
      <c r="F42" s="195" t="s">
        <v>95</v>
      </c>
      <c r="G42" s="195"/>
      <c r="H42" s="195"/>
      <c r="I42" s="195"/>
      <c r="J42" s="195" t="s">
        <v>96</v>
      </c>
      <c r="K42" s="195"/>
      <c r="L42" s="195"/>
      <c r="M42" s="195"/>
    </row>
    <row r="43" spans="2:19" ht="37.5" customHeight="1" outlineLevel="1" x14ac:dyDescent="0.25">
      <c r="B43" s="122" t="s">
        <v>97</v>
      </c>
      <c r="C43" s="32" t="s">
        <v>85</v>
      </c>
      <c r="D43" s="15">
        <f>_xlfn.XLOOKUP(Sc1_variant,$D$156:$J$156,$D$162:$J$162)</f>
        <v>0</v>
      </c>
      <c r="E43" s="17">
        <f>IF(D34="No",0,IF(D34="Yes",D43,"error"))</f>
        <v>0</v>
      </c>
      <c r="F43" s="195" t="s">
        <v>98</v>
      </c>
      <c r="G43" s="195"/>
      <c r="H43" s="195"/>
      <c r="I43" s="195"/>
      <c r="J43" s="195" t="s">
        <v>99</v>
      </c>
      <c r="K43" s="195"/>
      <c r="L43" s="195"/>
      <c r="M43" s="195"/>
    </row>
    <row r="44" spans="2:19" outlineLevel="1" x14ac:dyDescent="0.25">
      <c r="B44" s="31" t="s">
        <v>100</v>
      </c>
      <c r="C44" s="31" t="s">
        <v>85</v>
      </c>
      <c r="D44" s="164">
        <f>SUM(D42:D43)</f>
        <v>0</v>
      </c>
      <c r="E44" s="164">
        <f>SUM(E42:E43)</f>
        <v>0</v>
      </c>
      <c r="F44" s="205"/>
      <c r="G44" s="205"/>
      <c r="H44" s="205"/>
      <c r="I44" s="205"/>
      <c r="J44" s="205"/>
      <c r="K44" s="205"/>
      <c r="L44" s="205"/>
      <c r="M44" s="205"/>
    </row>
    <row r="45" spans="2:19" outlineLevel="1" x14ac:dyDescent="0.25">
      <c r="B45" s="4"/>
    </row>
    <row r="46" spans="2:19" outlineLevel="1" x14ac:dyDescent="0.25">
      <c r="B46" s="31" t="s">
        <v>101</v>
      </c>
      <c r="C46" s="31" t="s">
        <v>80</v>
      </c>
      <c r="D46" s="16" t="s">
        <v>81</v>
      </c>
      <c r="E46" s="16" t="s">
        <v>82</v>
      </c>
      <c r="F46" s="196" t="s">
        <v>3</v>
      </c>
      <c r="G46" s="196"/>
      <c r="H46" s="196"/>
      <c r="I46" s="196"/>
      <c r="J46" s="196" t="s">
        <v>83</v>
      </c>
      <c r="K46" s="196"/>
      <c r="L46" s="196"/>
      <c r="M46" s="196"/>
    </row>
    <row r="47" spans="2:19" ht="25.15" customHeight="1" outlineLevel="1" x14ac:dyDescent="0.25">
      <c r="B47" s="125" t="s">
        <v>102</v>
      </c>
      <c r="C47" s="32" t="s">
        <v>85</v>
      </c>
      <c r="D47" s="165">
        <v>0</v>
      </c>
      <c r="E47" s="165">
        <v>0</v>
      </c>
      <c r="F47" s="195" t="s">
        <v>103</v>
      </c>
      <c r="G47" s="195"/>
      <c r="H47" s="195"/>
      <c r="I47" s="195"/>
      <c r="J47" s="195" t="s">
        <v>104</v>
      </c>
      <c r="K47" s="195"/>
      <c r="L47" s="195"/>
      <c r="M47" s="195"/>
    </row>
    <row r="48" spans="2:19" outlineLevel="1" x14ac:dyDescent="0.25">
      <c r="B48" s="125" t="s">
        <v>105</v>
      </c>
      <c r="C48" s="32" t="s">
        <v>85</v>
      </c>
      <c r="D48" s="15">
        <f>_xlfn.XLOOKUP(Sc1_variant,D168:J168,D169:J169)</f>
        <v>0</v>
      </c>
      <c r="E48" s="15">
        <f>D48</f>
        <v>0</v>
      </c>
      <c r="F48" s="195" t="s">
        <v>106</v>
      </c>
      <c r="G48" s="195"/>
      <c r="H48" s="195"/>
      <c r="I48" s="195"/>
      <c r="J48" s="195" t="s">
        <v>107</v>
      </c>
      <c r="K48" s="195"/>
      <c r="L48" s="195"/>
      <c r="M48" s="195"/>
      <c r="O48" s="168"/>
      <c r="S48" s="168"/>
    </row>
    <row r="49" spans="1:19" ht="14.45" customHeight="1" outlineLevel="1" x14ac:dyDescent="0.25">
      <c r="B49" s="125" t="s">
        <v>108</v>
      </c>
      <c r="C49" s="32" t="s">
        <v>85</v>
      </c>
      <c r="D49" s="165">
        <v>0</v>
      </c>
      <c r="E49" s="32"/>
      <c r="F49" s="195" t="s">
        <v>109</v>
      </c>
      <c r="G49" s="195"/>
      <c r="H49" s="195"/>
      <c r="I49" s="195"/>
      <c r="J49" s="195" t="s">
        <v>110</v>
      </c>
      <c r="K49" s="195"/>
      <c r="L49" s="195"/>
      <c r="M49" s="195"/>
      <c r="O49" s="168"/>
      <c r="S49" s="168"/>
    </row>
    <row r="50" spans="1:19" ht="37.5" customHeight="1" outlineLevel="1" x14ac:dyDescent="0.25">
      <c r="B50" s="125" t="s">
        <v>111</v>
      </c>
      <c r="C50" s="32" t="s">
        <v>85</v>
      </c>
      <c r="D50" s="165">
        <v>0</v>
      </c>
      <c r="E50" s="165">
        <v>0</v>
      </c>
      <c r="F50" s="195" t="s">
        <v>112</v>
      </c>
      <c r="G50" s="195"/>
      <c r="H50" s="195"/>
      <c r="I50" s="195"/>
      <c r="J50" s="195" t="s">
        <v>113</v>
      </c>
      <c r="K50" s="195"/>
      <c r="L50" s="195"/>
      <c r="M50" s="195"/>
      <c r="O50" s="168"/>
      <c r="S50" s="168"/>
    </row>
    <row r="51" spans="1:19" ht="25.15" customHeight="1" outlineLevel="1" x14ac:dyDescent="0.25">
      <c r="B51" s="125" t="s">
        <v>114</v>
      </c>
      <c r="C51" s="32" t="s">
        <v>85</v>
      </c>
      <c r="D51" s="165">
        <v>0</v>
      </c>
      <c r="E51" s="165">
        <v>0</v>
      </c>
      <c r="F51" s="195" t="s">
        <v>115</v>
      </c>
      <c r="G51" s="195"/>
      <c r="H51" s="195"/>
      <c r="I51" s="195"/>
      <c r="J51" s="195" t="s">
        <v>113</v>
      </c>
      <c r="K51" s="195"/>
      <c r="L51" s="195"/>
      <c r="M51" s="195"/>
      <c r="O51" s="168"/>
      <c r="S51" s="168"/>
    </row>
    <row r="52" spans="1:19" outlineLevel="1" x14ac:dyDescent="0.25">
      <c r="O52" s="168"/>
      <c r="S52" s="168"/>
    </row>
    <row r="53" spans="1:19" outlineLevel="1" x14ac:dyDescent="0.25">
      <c r="B53" s="31" t="s">
        <v>116</v>
      </c>
      <c r="C53" s="32"/>
      <c r="D53" s="16" t="s">
        <v>81</v>
      </c>
      <c r="E53" s="16" t="s">
        <v>82</v>
      </c>
      <c r="F53" s="196" t="s">
        <v>3</v>
      </c>
      <c r="G53" s="196"/>
      <c r="H53" s="196"/>
      <c r="I53" s="196"/>
      <c r="J53" s="196" t="s">
        <v>83</v>
      </c>
      <c r="K53" s="196"/>
      <c r="L53" s="196"/>
      <c r="M53" s="196"/>
      <c r="O53" s="168"/>
      <c r="S53" s="168"/>
    </row>
    <row r="54" spans="1:19" outlineLevel="1" x14ac:dyDescent="0.25">
      <c r="B54" s="31" t="s">
        <v>117</v>
      </c>
      <c r="C54" s="31" t="s">
        <v>85</v>
      </c>
      <c r="D54" s="164">
        <f>SUM(D39,D44,D47:D51)</f>
        <v>2722.5</v>
      </c>
      <c r="E54" s="31"/>
      <c r="F54" s="195"/>
      <c r="G54" s="195"/>
      <c r="H54" s="195"/>
      <c r="I54" s="195"/>
      <c r="J54" s="195"/>
      <c r="K54" s="195"/>
      <c r="L54" s="195"/>
      <c r="M54" s="195"/>
      <c r="O54" s="168"/>
      <c r="S54" s="168"/>
    </row>
    <row r="55" spans="1:19" outlineLevel="1" x14ac:dyDescent="0.25">
      <c r="B55" s="31" t="s">
        <v>118</v>
      </c>
      <c r="C55" s="31" t="s">
        <v>85</v>
      </c>
      <c r="D55" s="31"/>
      <c r="E55" s="164">
        <f>SUM(E39,E44,E47:E51)</f>
        <v>2722.5</v>
      </c>
      <c r="F55" s="195"/>
      <c r="G55" s="195"/>
      <c r="H55" s="195"/>
      <c r="I55" s="195"/>
      <c r="J55" s="195"/>
      <c r="K55" s="195"/>
      <c r="L55" s="195"/>
      <c r="M55" s="195"/>
    </row>
    <row r="56" spans="1:19" outlineLevel="1" x14ac:dyDescent="0.25">
      <c r="B56" s="4"/>
      <c r="F56" s="161"/>
      <c r="G56" s="161"/>
      <c r="H56" s="161"/>
      <c r="I56" s="161"/>
      <c r="J56" s="161"/>
      <c r="K56" s="161"/>
    </row>
    <row r="57" spans="1:19" s="8" customFormat="1" ht="15.75" outlineLevel="1" thickBot="1" x14ac:dyDescent="0.3">
      <c r="A57" s="8" t="str">
        <f>"Other charges (not part of the connection charge)"&amp;" for "&amp;Sc1_variant</f>
        <v>Other charges (not part of the connection charge) for Variant 1d</v>
      </c>
    </row>
    <row r="58" spans="1:19" outlineLevel="1" x14ac:dyDescent="0.25">
      <c r="B58" s="4"/>
      <c r="F58" s="161"/>
      <c r="G58" s="161"/>
      <c r="H58" s="161"/>
      <c r="I58" s="161"/>
      <c r="J58" s="161"/>
      <c r="K58" s="161"/>
    </row>
    <row r="59" spans="1:19" outlineLevel="1" x14ac:dyDescent="0.25">
      <c r="B59" s="31" t="s">
        <v>119</v>
      </c>
      <c r="C59" s="7" t="s">
        <v>80</v>
      </c>
      <c r="D59" s="16"/>
      <c r="E59" s="16" t="s">
        <v>82</v>
      </c>
      <c r="F59" s="196" t="s">
        <v>3</v>
      </c>
      <c r="G59" s="196"/>
      <c r="H59" s="196"/>
      <c r="I59" s="196"/>
      <c r="J59" s="196" t="s">
        <v>83</v>
      </c>
      <c r="K59" s="196"/>
      <c r="L59" s="196"/>
      <c r="M59" s="196"/>
    </row>
    <row r="60" spans="1:19" outlineLevel="1" x14ac:dyDescent="0.25">
      <c r="B60" s="32" t="s">
        <v>120</v>
      </c>
      <c r="C60" s="6" t="s">
        <v>85</v>
      </c>
      <c r="D60" s="68"/>
      <c r="E60" s="15">
        <f>_xlfn.XLOOKUP(Sc1_variant,D174:J174,D175:J175)</f>
        <v>0</v>
      </c>
      <c r="F60" s="195" t="s">
        <v>121</v>
      </c>
      <c r="G60" s="195"/>
      <c r="H60" s="195"/>
      <c r="I60" s="195"/>
      <c r="J60" s="195" t="s">
        <v>122</v>
      </c>
      <c r="K60" s="195"/>
      <c r="L60" s="195"/>
      <c r="M60" s="195"/>
    </row>
    <row r="61" spans="1:19" outlineLevel="1" x14ac:dyDescent="0.25">
      <c r="B61" s="32" t="s">
        <v>123</v>
      </c>
      <c r="C61" s="6" t="s">
        <v>85</v>
      </c>
      <c r="D61" s="32"/>
      <c r="E61" s="15">
        <f>_xlfn.XLOOKUP(Sc1_variant,D180:J180,D183:J183)</f>
        <v>220</v>
      </c>
      <c r="F61" s="195" t="s">
        <v>124</v>
      </c>
      <c r="G61" s="195"/>
      <c r="H61" s="195"/>
      <c r="I61" s="195"/>
      <c r="J61" s="195"/>
      <c r="K61" s="195"/>
      <c r="L61" s="195"/>
      <c r="M61" s="195"/>
    </row>
    <row r="62" spans="1:19" outlineLevel="1" x14ac:dyDescent="0.25">
      <c r="B62" s="4"/>
      <c r="F62" s="161"/>
      <c r="G62" s="161"/>
      <c r="H62" s="161"/>
      <c r="I62" s="161"/>
      <c r="J62" s="161"/>
      <c r="K62" s="161"/>
    </row>
    <row r="63" spans="1:19" s="151" customFormat="1" ht="18" thickBot="1" x14ac:dyDescent="0.35">
      <c r="A63" s="151" t="s">
        <v>125</v>
      </c>
    </row>
    <row r="64" spans="1:19" ht="15.75" outlineLevel="1" thickTop="1" x14ac:dyDescent="0.25">
      <c r="B64" s="4"/>
      <c r="F64" s="161"/>
      <c r="G64" s="161"/>
      <c r="H64" s="161"/>
      <c r="I64" s="161"/>
      <c r="J64" s="161"/>
      <c r="K64" s="161"/>
    </row>
    <row r="65" spans="1:18" outlineLevel="1" x14ac:dyDescent="0.25">
      <c r="B65" s="31" t="s">
        <v>126</v>
      </c>
      <c r="C65" s="7" t="s">
        <v>80</v>
      </c>
      <c r="D65" s="16" t="str">
        <f>"Variant"&amp;" "&amp;$A$17</f>
        <v>Variant 1a</v>
      </c>
      <c r="E65" s="16" t="str">
        <f>"Variant"&amp;" "&amp;$A$18</f>
        <v>Variant 1b</v>
      </c>
      <c r="F65" s="16" t="str">
        <f>"Variant"&amp;" "&amp;$A$19</f>
        <v>Variant 1c</v>
      </c>
      <c r="G65" s="16" t="str">
        <f>"Variant"&amp;" "&amp;$A$20</f>
        <v>Variant 1d</v>
      </c>
      <c r="H65" s="16" t="str">
        <f>"Variant"&amp;" "&amp;$A$21</f>
        <v>Variant 1e</v>
      </c>
      <c r="I65" s="16" t="str">
        <f>"Variant"&amp;" "&amp;$A$22</f>
        <v>Variant 1f</v>
      </c>
      <c r="J65" s="16" t="str">
        <f>"Variant"&amp;" "&amp;$A$23</f>
        <v>Variant 1g</v>
      </c>
      <c r="K65" s="202" t="s">
        <v>3</v>
      </c>
      <c r="L65" s="203"/>
      <c r="M65" s="203"/>
      <c r="N65" s="204"/>
      <c r="O65" s="196" t="s">
        <v>83</v>
      </c>
      <c r="P65" s="196"/>
      <c r="Q65" s="196"/>
      <c r="R65" s="196"/>
    </row>
    <row r="66" spans="1:18" ht="37.5" customHeight="1" outlineLevel="1" x14ac:dyDescent="0.25">
      <c r="B66" s="32" t="s">
        <v>127</v>
      </c>
      <c r="C66" s="6" t="s">
        <v>85</v>
      </c>
      <c r="D66" s="17">
        <f t="shared" ref="D66:J66" si="0">IF(D79="No",D86,IF(D79="Yes",D93,"error"))+SUM(D120,D135,D162,D169)</f>
        <v>5782.5</v>
      </c>
      <c r="E66" s="17">
        <f t="shared" si="0"/>
        <v>8105</v>
      </c>
      <c r="F66" s="17">
        <f t="shared" si="0"/>
        <v>8105</v>
      </c>
      <c r="G66" s="17">
        <f t="shared" si="0"/>
        <v>2722.5</v>
      </c>
      <c r="H66" s="17">
        <f t="shared" si="0"/>
        <v>17065</v>
      </c>
      <c r="I66" s="17">
        <f t="shared" si="0"/>
        <v>17065</v>
      </c>
      <c r="J66" s="17">
        <f t="shared" si="0"/>
        <v>37065</v>
      </c>
      <c r="K66" s="195" t="s">
        <v>128</v>
      </c>
      <c r="L66" s="195"/>
      <c r="M66" s="195"/>
      <c r="N66" s="195"/>
      <c r="O66" s="205"/>
      <c r="P66" s="205"/>
      <c r="Q66" s="205"/>
      <c r="R66" s="205"/>
    </row>
    <row r="67" spans="1:18" ht="37.5" customHeight="1" outlineLevel="1" x14ac:dyDescent="0.25">
      <c r="B67" s="32" t="s">
        <v>129</v>
      </c>
      <c r="C67" s="6" t="s">
        <v>85</v>
      </c>
      <c r="D67" s="17">
        <f t="shared" ref="D67:J67" si="1">SUM(D125,D135,D169)+IF(D70="Yes",D162,IF(D70="No",0,"error"))</f>
        <v>1330</v>
      </c>
      <c r="E67" s="17">
        <f t="shared" si="1"/>
        <v>2330</v>
      </c>
      <c r="F67" s="17">
        <f t="shared" si="1"/>
        <v>3652.5</v>
      </c>
      <c r="G67" s="17">
        <f t="shared" si="1"/>
        <v>2722.5</v>
      </c>
      <c r="H67" s="17">
        <f t="shared" si="1"/>
        <v>11476</v>
      </c>
      <c r="I67" s="17">
        <f t="shared" si="1"/>
        <v>11476</v>
      </c>
      <c r="J67" s="17">
        <f t="shared" si="1"/>
        <v>31476</v>
      </c>
      <c r="K67" s="195" t="s">
        <v>130</v>
      </c>
      <c r="L67" s="195"/>
      <c r="M67" s="195"/>
      <c r="N67" s="195"/>
      <c r="O67" s="205"/>
      <c r="P67" s="205"/>
      <c r="Q67" s="205"/>
      <c r="R67" s="205"/>
    </row>
    <row r="68" spans="1:18" outlineLevel="1" x14ac:dyDescent="0.25">
      <c r="B68" s="4"/>
      <c r="F68" s="161"/>
      <c r="G68" s="161"/>
      <c r="H68" s="161"/>
      <c r="I68" s="161"/>
      <c r="J68" s="161"/>
      <c r="K68" s="161"/>
    </row>
    <row r="69" spans="1:18" outlineLevel="1" x14ac:dyDescent="0.25">
      <c r="B69" s="207" t="s">
        <v>131</v>
      </c>
      <c r="C69" s="207"/>
      <c r="D69" s="16" t="str">
        <f>"Variant"&amp;" "&amp;$A$17</f>
        <v>Variant 1a</v>
      </c>
      <c r="E69" s="16" t="str">
        <f>"Variant"&amp;" "&amp;$A$18</f>
        <v>Variant 1b</v>
      </c>
      <c r="F69" s="16" t="str">
        <f>"Variant"&amp;" "&amp;$A$19</f>
        <v>Variant 1c</v>
      </c>
      <c r="G69" s="16" t="str">
        <f>"Variant"&amp;" "&amp;$A$20</f>
        <v>Variant 1d</v>
      </c>
      <c r="H69" s="16" t="str">
        <f>"Variant"&amp;" "&amp;$A$21</f>
        <v>Variant 1e</v>
      </c>
      <c r="I69" s="16" t="str">
        <f>"Variant"&amp;" "&amp;$A$22</f>
        <v>Variant 1f</v>
      </c>
      <c r="J69" s="16" t="str">
        <f>"Variant"&amp;" "&amp;$A$23</f>
        <v>Variant 1g</v>
      </c>
      <c r="K69" s="196" t="s">
        <v>83</v>
      </c>
      <c r="L69" s="196"/>
      <c r="M69" s="196"/>
      <c r="N69" s="196"/>
      <c r="O69" s="196"/>
      <c r="P69" s="196"/>
      <c r="Q69" s="196"/>
      <c r="R69" s="196"/>
    </row>
    <row r="70" spans="1:18" outlineLevel="1" x14ac:dyDescent="0.25">
      <c r="B70" s="196" t="s">
        <v>132</v>
      </c>
      <c r="C70" s="196"/>
      <c r="D70" s="39" t="s">
        <v>133</v>
      </c>
      <c r="E70" s="39" t="s">
        <v>133</v>
      </c>
      <c r="F70" s="39" t="s">
        <v>134</v>
      </c>
      <c r="G70" s="39" t="s">
        <v>134</v>
      </c>
      <c r="H70" s="39" t="s">
        <v>134</v>
      </c>
      <c r="I70" s="39" t="s">
        <v>134</v>
      </c>
      <c r="J70" s="39" t="s">
        <v>134</v>
      </c>
      <c r="K70" s="201" t="s">
        <v>135</v>
      </c>
      <c r="L70" s="201"/>
      <c r="M70" s="201"/>
      <c r="N70" s="201"/>
      <c r="O70" s="201"/>
      <c r="P70" s="201"/>
      <c r="Q70" s="201"/>
      <c r="R70" s="201"/>
    </row>
    <row r="71" spans="1:18" outlineLevel="1" x14ac:dyDescent="0.25">
      <c r="B71" s="4"/>
      <c r="F71" s="161"/>
      <c r="G71" s="161"/>
      <c r="H71" s="161"/>
      <c r="I71" s="161"/>
      <c r="J71" s="161"/>
      <c r="K71" s="161"/>
    </row>
    <row r="72" spans="1:18" s="151" customFormat="1" ht="18" thickBot="1" x14ac:dyDescent="0.35">
      <c r="A72" s="151" t="s">
        <v>136</v>
      </c>
    </row>
    <row r="73" spans="1:18" ht="15.75" outlineLevel="1" thickTop="1" x14ac:dyDescent="0.25">
      <c r="B73" s="4"/>
      <c r="F73" s="161"/>
      <c r="G73" s="161"/>
      <c r="H73" s="161"/>
      <c r="I73" s="161"/>
      <c r="J73" s="161"/>
      <c r="K73" s="161"/>
    </row>
    <row r="74" spans="1:18" s="8" customFormat="1" outlineLevel="1" x14ac:dyDescent="0.25">
      <c r="A74" s="8" t="s">
        <v>137</v>
      </c>
    </row>
    <row r="75" spans="1:18" outlineLevel="1" x14ac:dyDescent="0.25">
      <c r="B75" s="4"/>
      <c r="F75" s="161"/>
      <c r="G75" s="161"/>
      <c r="H75" s="161"/>
      <c r="I75" s="161"/>
      <c r="J75" s="161"/>
      <c r="K75" s="161"/>
    </row>
    <row r="76" spans="1:18" outlineLevel="1" x14ac:dyDescent="0.25">
      <c r="A76" s="11" t="s">
        <v>138</v>
      </c>
      <c r="B76" s="5"/>
    </row>
    <row r="77" spans="1:18" outlineLevel="1" x14ac:dyDescent="0.25">
      <c r="B77" s="4"/>
      <c r="F77" s="161"/>
      <c r="G77" s="161"/>
      <c r="H77" s="161"/>
      <c r="I77" s="161"/>
      <c r="J77" s="161"/>
      <c r="K77" s="161"/>
    </row>
    <row r="78" spans="1:18" outlineLevel="2" x14ac:dyDescent="0.25">
      <c r="A78" s="3"/>
      <c r="D78" s="37" t="str">
        <f>"Variant"&amp;" "&amp;$A$17</f>
        <v>Variant 1a</v>
      </c>
      <c r="E78" s="37" t="str">
        <f>"Variant"&amp;" "&amp;$A$18</f>
        <v>Variant 1b</v>
      </c>
      <c r="F78" s="37" t="str">
        <f>"Variant"&amp;" "&amp;$A$19</f>
        <v>Variant 1c</v>
      </c>
      <c r="G78" s="37" t="str">
        <f>"Variant"&amp;" "&amp;$A$20</f>
        <v>Variant 1d</v>
      </c>
      <c r="H78" s="37" t="str">
        <f>"Variant"&amp;" "&amp;$A$21</f>
        <v>Variant 1e</v>
      </c>
      <c r="I78" s="37" t="str">
        <f>"Variant"&amp;" "&amp;$A$22</f>
        <v>Variant 1f</v>
      </c>
      <c r="J78" s="37" t="str">
        <f>"Variant"&amp;" "&amp;$A$23</f>
        <v>Variant 1g</v>
      </c>
      <c r="K78" s="196" t="s">
        <v>83</v>
      </c>
      <c r="L78" s="196"/>
      <c r="M78" s="196"/>
      <c r="N78" s="196"/>
      <c r="O78" s="196"/>
      <c r="P78" s="196"/>
      <c r="Q78" s="196"/>
      <c r="R78" s="196"/>
    </row>
    <row r="79" spans="1:18" outlineLevel="2" x14ac:dyDescent="0.25">
      <c r="A79" s="3"/>
      <c r="B79" s="31" t="s">
        <v>77</v>
      </c>
      <c r="C79" s="32"/>
      <c r="D79" s="39" t="s">
        <v>133</v>
      </c>
      <c r="E79" s="39" t="s">
        <v>133</v>
      </c>
      <c r="F79" s="39" t="s">
        <v>133</v>
      </c>
      <c r="G79" s="39" t="s">
        <v>133</v>
      </c>
      <c r="H79" s="39" t="s">
        <v>133</v>
      </c>
      <c r="I79" s="39" t="s">
        <v>133</v>
      </c>
      <c r="J79" s="39" t="s">
        <v>133</v>
      </c>
      <c r="K79" s="201" t="s">
        <v>139</v>
      </c>
      <c r="L79" s="201"/>
      <c r="M79" s="201"/>
      <c r="N79" s="201"/>
      <c r="O79" s="201"/>
      <c r="P79" s="201"/>
      <c r="Q79" s="201"/>
      <c r="R79" s="201"/>
    </row>
    <row r="80" spans="1:18" outlineLevel="2" x14ac:dyDescent="0.25">
      <c r="A80" s="3"/>
    </row>
    <row r="81" spans="1:18" outlineLevel="2" x14ac:dyDescent="0.25">
      <c r="B81" s="21" t="s">
        <v>140</v>
      </c>
      <c r="C81" s="31" t="s">
        <v>80</v>
      </c>
      <c r="D81" s="16" t="str">
        <f>"Variant"&amp;" "&amp;$A$17</f>
        <v>Variant 1a</v>
      </c>
      <c r="E81" s="16" t="str">
        <f>"Variant"&amp;" "&amp;$A$18</f>
        <v>Variant 1b</v>
      </c>
      <c r="F81" s="16" t="str">
        <f>"Variant"&amp;" "&amp;$A$19</f>
        <v>Variant 1c</v>
      </c>
      <c r="G81" s="16" t="str">
        <f>"Variant"&amp;" "&amp;$A$20</f>
        <v>Variant 1d</v>
      </c>
      <c r="H81" s="16" t="str">
        <f>"Variant"&amp;" "&amp;$A$21</f>
        <v>Variant 1e</v>
      </c>
      <c r="I81" s="16" t="str">
        <f>"Variant"&amp;" "&amp;$A$22</f>
        <v>Variant 1f</v>
      </c>
      <c r="J81" s="16" t="str">
        <f>"Variant"&amp;" "&amp;$A$23</f>
        <v>Variant 1g</v>
      </c>
      <c r="K81" s="196" t="s">
        <v>83</v>
      </c>
      <c r="L81" s="196"/>
      <c r="M81" s="196"/>
      <c r="N81" s="196"/>
      <c r="O81" s="196"/>
      <c r="P81" s="196"/>
      <c r="Q81" s="196"/>
      <c r="R81" s="196"/>
    </row>
    <row r="82" spans="1:18" outlineLevel="2" x14ac:dyDescent="0.25">
      <c r="B82" s="19" t="s">
        <v>141</v>
      </c>
      <c r="C82" s="32" t="s">
        <v>85</v>
      </c>
      <c r="D82" s="9">
        <v>600</v>
      </c>
      <c r="E82" s="9">
        <v>600</v>
      </c>
      <c r="F82" s="9">
        <v>600</v>
      </c>
      <c r="G82" s="9">
        <v>300</v>
      </c>
      <c r="H82" s="9">
        <v>600</v>
      </c>
      <c r="I82" s="9">
        <v>600</v>
      </c>
      <c r="J82" s="9">
        <v>600</v>
      </c>
      <c r="K82" s="201" t="s">
        <v>142</v>
      </c>
      <c r="L82" s="201"/>
      <c r="M82" s="201"/>
      <c r="N82" s="201"/>
      <c r="O82" s="201"/>
      <c r="P82" s="201"/>
      <c r="Q82" s="201"/>
      <c r="R82" s="201"/>
    </row>
    <row r="83" spans="1:18" outlineLevel="2" x14ac:dyDescent="0.25">
      <c r="A83" s="10"/>
      <c r="B83" s="19" t="s">
        <v>143</v>
      </c>
      <c r="C83" s="32" t="s">
        <v>85</v>
      </c>
      <c r="D83" s="9"/>
      <c r="E83" s="9"/>
      <c r="F83" s="9"/>
      <c r="G83" s="9"/>
      <c r="H83" s="9">
        <v>13200</v>
      </c>
      <c r="I83" s="9">
        <f>H83</f>
        <v>13200</v>
      </c>
      <c r="J83" s="9">
        <f>H83</f>
        <v>13200</v>
      </c>
      <c r="K83" s="201" t="s">
        <v>144</v>
      </c>
      <c r="L83" s="201"/>
      <c r="M83" s="201"/>
      <c r="N83" s="201"/>
      <c r="O83" s="201"/>
      <c r="P83" s="201"/>
      <c r="Q83" s="201"/>
      <c r="R83" s="201"/>
    </row>
    <row r="84" spans="1:18" outlineLevel="2" x14ac:dyDescent="0.25">
      <c r="A84" s="10"/>
      <c r="B84" s="19" t="s">
        <v>145</v>
      </c>
      <c r="C84" s="32" t="s">
        <v>85</v>
      </c>
      <c r="D84" s="9">
        <v>100</v>
      </c>
      <c r="E84" s="9">
        <v>100</v>
      </c>
      <c r="F84" s="9">
        <v>100</v>
      </c>
      <c r="G84" s="9">
        <v>100</v>
      </c>
      <c r="H84" s="9">
        <v>100</v>
      </c>
      <c r="I84" s="9">
        <f>H84</f>
        <v>100</v>
      </c>
      <c r="J84" s="9">
        <f>H84</f>
        <v>100</v>
      </c>
      <c r="K84" s="201" t="s">
        <v>146</v>
      </c>
      <c r="L84" s="201"/>
      <c r="M84" s="201"/>
      <c r="N84" s="201"/>
      <c r="O84" s="201"/>
      <c r="P84" s="201"/>
      <c r="Q84" s="201"/>
      <c r="R84" s="201"/>
    </row>
    <row r="85" spans="1:18" outlineLevel="2" x14ac:dyDescent="0.25">
      <c r="A85" s="10"/>
      <c r="B85" s="115" t="s">
        <v>147</v>
      </c>
      <c r="C85" s="32" t="s">
        <v>85</v>
      </c>
      <c r="D85" s="9">
        <v>1200</v>
      </c>
      <c r="E85" s="9">
        <v>1200</v>
      </c>
      <c r="F85" s="9">
        <v>1200</v>
      </c>
      <c r="G85" s="9">
        <v>1000</v>
      </c>
      <c r="H85" s="9">
        <f>0.15*(H82+H83+H84)</f>
        <v>2085</v>
      </c>
      <c r="I85" s="9">
        <f>0.15*(I82+I83+I84)</f>
        <v>2085</v>
      </c>
      <c r="J85" s="9">
        <f>0.15*(J82+J83+J84)</f>
        <v>2085</v>
      </c>
      <c r="K85" s="201" t="s">
        <v>148</v>
      </c>
      <c r="L85" s="201"/>
      <c r="M85" s="201"/>
      <c r="N85" s="201"/>
      <c r="O85" s="201"/>
      <c r="P85" s="201"/>
      <c r="Q85" s="201"/>
      <c r="R85" s="201"/>
    </row>
    <row r="86" spans="1:18" ht="15.75" outlineLevel="2" thickBot="1" x14ac:dyDescent="0.3">
      <c r="B86" s="50" t="s">
        <v>149</v>
      </c>
      <c r="C86" s="49" t="s">
        <v>85</v>
      </c>
      <c r="D86" s="51">
        <f t="shared" ref="D86:J86" si="2">SUM(D82:D85)</f>
        <v>1900</v>
      </c>
      <c r="E86" s="51">
        <f t="shared" si="2"/>
        <v>1900</v>
      </c>
      <c r="F86" s="51">
        <f t="shared" si="2"/>
        <v>1900</v>
      </c>
      <c r="G86" s="51">
        <f t="shared" si="2"/>
        <v>1400</v>
      </c>
      <c r="H86" s="51">
        <f t="shared" si="2"/>
        <v>15985</v>
      </c>
      <c r="I86" s="51">
        <f t="shared" si="2"/>
        <v>15985</v>
      </c>
      <c r="J86" s="51">
        <f t="shared" si="2"/>
        <v>15985</v>
      </c>
    </row>
    <row r="87" spans="1:18" ht="15.75" outlineLevel="2" thickTop="1" x14ac:dyDescent="0.25">
      <c r="B87" s="34"/>
      <c r="C87" s="4"/>
      <c r="D87" s="47"/>
      <c r="E87" s="47"/>
      <c r="F87" s="47"/>
      <c r="G87" s="47"/>
      <c r="H87" s="47"/>
      <c r="I87" s="47"/>
      <c r="J87" s="47"/>
    </row>
    <row r="88" spans="1:18" outlineLevel="2" x14ac:dyDescent="0.25">
      <c r="B88" s="18" t="s">
        <v>150</v>
      </c>
      <c r="C88" s="31" t="s">
        <v>80</v>
      </c>
      <c r="D88" s="16" t="str">
        <f>"Variant"&amp;" "&amp;$A$17</f>
        <v>Variant 1a</v>
      </c>
      <c r="E88" s="16" t="str">
        <f>"Variant"&amp;" "&amp;$A$18</f>
        <v>Variant 1b</v>
      </c>
      <c r="F88" s="16" t="str">
        <f>"Variant"&amp;" "&amp;$A$19</f>
        <v>Variant 1c</v>
      </c>
      <c r="G88" s="16" t="str">
        <f>"Variant"&amp;" "&amp;$A$20</f>
        <v>Variant 1d</v>
      </c>
      <c r="H88" s="16" t="str">
        <f>"Variant"&amp;" "&amp;$A$21</f>
        <v>Variant 1e</v>
      </c>
      <c r="I88" s="16" t="str">
        <f>"Variant"&amp;" "&amp;$A$22</f>
        <v>Variant 1f</v>
      </c>
      <c r="J88" s="16" t="str">
        <f>"Variant"&amp;" "&amp;$A$23</f>
        <v>Variant 1g</v>
      </c>
      <c r="K88" s="196" t="s">
        <v>83</v>
      </c>
      <c r="L88" s="196"/>
      <c r="M88" s="196"/>
      <c r="N88" s="196"/>
      <c r="O88" s="196"/>
      <c r="P88" s="196"/>
      <c r="Q88" s="196"/>
      <c r="R88" s="196"/>
    </row>
    <row r="89" spans="1:18" outlineLevel="2" x14ac:dyDescent="0.25">
      <c r="B89" s="19" t="s">
        <v>151</v>
      </c>
      <c r="C89" s="32" t="s">
        <v>85</v>
      </c>
      <c r="D89" s="9"/>
      <c r="E89" s="9"/>
      <c r="F89" s="9"/>
      <c r="G89" s="9"/>
      <c r="H89" s="9"/>
      <c r="I89" s="9"/>
      <c r="J89" s="9"/>
      <c r="K89" s="201"/>
      <c r="L89" s="201"/>
      <c r="M89" s="201"/>
      <c r="N89" s="201"/>
      <c r="O89" s="201"/>
      <c r="P89" s="201"/>
      <c r="Q89" s="201"/>
      <c r="R89" s="201"/>
    </row>
    <row r="90" spans="1:18" outlineLevel="2" x14ac:dyDescent="0.25">
      <c r="B90" s="19"/>
      <c r="C90" s="32" t="s">
        <v>85</v>
      </c>
      <c r="D90" s="9"/>
      <c r="E90" s="9"/>
      <c r="F90" s="9"/>
      <c r="G90" s="9"/>
      <c r="H90" s="9"/>
      <c r="I90" s="9"/>
      <c r="J90" s="9"/>
      <c r="K90" s="201"/>
      <c r="L90" s="201"/>
      <c r="M90" s="201"/>
      <c r="N90" s="201"/>
      <c r="O90" s="201"/>
      <c r="P90" s="201"/>
      <c r="Q90" s="201"/>
      <c r="R90" s="201"/>
    </row>
    <row r="91" spans="1:18" outlineLevel="2" x14ac:dyDescent="0.25">
      <c r="B91" s="19"/>
      <c r="C91" s="32" t="s">
        <v>85</v>
      </c>
      <c r="D91" s="9"/>
      <c r="E91" s="9"/>
      <c r="F91" s="9"/>
      <c r="G91" s="9"/>
      <c r="H91" s="9"/>
      <c r="I91" s="9"/>
      <c r="J91" s="9"/>
      <c r="K91" s="201"/>
      <c r="L91" s="201"/>
      <c r="M91" s="201"/>
      <c r="N91" s="201"/>
      <c r="O91" s="201"/>
      <c r="P91" s="201"/>
      <c r="Q91" s="201"/>
      <c r="R91" s="201"/>
    </row>
    <row r="92" spans="1:18" outlineLevel="2" x14ac:dyDescent="0.25">
      <c r="B92" s="19"/>
      <c r="C92" s="32" t="s">
        <v>85</v>
      </c>
      <c r="D92" s="9"/>
      <c r="E92" s="9"/>
      <c r="F92" s="9"/>
      <c r="G92" s="9"/>
      <c r="H92" s="9"/>
      <c r="I92" s="9"/>
      <c r="J92" s="9"/>
      <c r="K92" s="201"/>
      <c r="L92" s="201"/>
      <c r="M92" s="201"/>
      <c r="N92" s="201"/>
      <c r="O92" s="201"/>
      <c r="P92" s="201"/>
      <c r="Q92" s="201"/>
      <c r="R92" s="201"/>
    </row>
    <row r="93" spans="1:18" ht="15.75" outlineLevel="2" thickBot="1" x14ac:dyDescent="0.3">
      <c r="B93" s="50" t="s">
        <v>152</v>
      </c>
      <c r="C93" s="49" t="s">
        <v>85</v>
      </c>
      <c r="D93" s="51">
        <f t="shared" ref="D93:J93" si="3">SUM(D89:D92)</f>
        <v>0</v>
      </c>
      <c r="E93" s="51">
        <f t="shared" si="3"/>
        <v>0</v>
      </c>
      <c r="F93" s="51">
        <f t="shared" si="3"/>
        <v>0</v>
      </c>
      <c r="G93" s="51">
        <f t="shared" si="3"/>
        <v>0</v>
      </c>
      <c r="H93" s="51">
        <f t="shared" si="3"/>
        <v>0</v>
      </c>
      <c r="I93" s="51">
        <f t="shared" si="3"/>
        <v>0</v>
      </c>
      <c r="J93" s="51">
        <f t="shared" si="3"/>
        <v>0</v>
      </c>
    </row>
    <row r="94" spans="1:18" ht="15.75" outlineLevel="2" thickTop="1" x14ac:dyDescent="0.25">
      <c r="B94" s="34"/>
      <c r="C94" s="4"/>
      <c r="D94" s="47"/>
      <c r="E94" s="47"/>
      <c r="F94" s="47"/>
      <c r="G94" s="47"/>
      <c r="H94" s="47"/>
      <c r="I94" s="47"/>
      <c r="J94" s="47"/>
    </row>
    <row r="95" spans="1:18" outlineLevel="1" x14ac:dyDescent="0.25">
      <c r="A95" s="11" t="s">
        <v>153</v>
      </c>
      <c r="B95" s="5"/>
    </row>
    <row r="96" spans="1:18" outlineLevel="1" x14ac:dyDescent="0.25">
      <c r="A96" s="11"/>
      <c r="B96" s="5"/>
    </row>
    <row r="97" spans="2:18" outlineLevel="1" x14ac:dyDescent="0.25">
      <c r="C97" s="31" t="s">
        <v>80</v>
      </c>
      <c r="D97" s="16" t="str">
        <f>"Variant"&amp;" "&amp;$A$17</f>
        <v>Variant 1a</v>
      </c>
      <c r="E97" s="16" t="str">
        <f>"Variant"&amp;" "&amp;$A$18</f>
        <v>Variant 1b</v>
      </c>
      <c r="F97" s="16" t="str">
        <f>"Variant"&amp;" "&amp;$A$19</f>
        <v>Variant 1c</v>
      </c>
      <c r="G97" s="16" t="str">
        <f>"Variant"&amp;" "&amp;$A$20</f>
        <v>Variant 1d</v>
      </c>
      <c r="H97" s="16" t="str">
        <f>"Variant"&amp;" "&amp;$A$21</f>
        <v>Variant 1e</v>
      </c>
      <c r="I97" s="16" t="str">
        <f>"Variant"&amp;" "&amp;$A$22</f>
        <v>Variant 1f</v>
      </c>
      <c r="J97" s="16" t="str">
        <f>"Variant"&amp;" "&amp;$A$23</f>
        <v>Variant 1g</v>
      </c>
      <c r="K97" s="196" t="s">
        <v>83</v>
      </c>
      <c r="L97" s="196"/>
      <c r="M97" s="196"/>
      <c r="N97" s="196"/>
      <c r="O97" s="196"/>
      <c r="P97" s="196"/>
      <c r="Q97" s="196"/>
      <c r="R97" s="196"/>
    </row>
    <row r="98" spans="2:18" outlineLevel="1" x14ac:dyDescent="0.25">
      <c r="B98" s="31" t="s">
        <v>154</v>
      </c>
      <c r="C98" s="32" t="s">
        <v>155</v>
      </c>
      <c r="D98" s="33" t="s">
        <v>156</v>
      </c>
      <c r="E98" s="33" t="s">
        <v>156</v>
      </c>
      <c r="F98" s="33" t="s">
        <v>156</v>
      </c>
      <c r="G98" s="33" t="s">
        <v>156</v>
      </c>
      <c r="H98" s="33" t="s">
        <v>157</v>
      </c>
      <c r="I98" s="33" t="s">
        <v>157</v>
      </c>
      <c r="J98" s="33" t="s">
        <v>157</v>
      </c>
      <c r="K98" s="201" t="s">
        <v>158</v>
      </c>
      <c r="L98" s="201"/>
      <c r="M98" s="201"/>
      <c r="N98" s="201"/>
      <c r="O98" s="201"/>
      <c r="P98" s="201"/>
      <c r="Q98" s="201"/>
      <c r="R98" s="201"/>
    </row>
    <row r="99" spans="2:18" outlineLevel="1" x14ac:dyDescent="0.25"/>
    <row r="100" spans="2:18" outlineLevel="1" x14ac:dyDescent="0.25">
      <c r="B100" s="31" t="s">
        <v>159</v>
      </c>
      <c r="C100" s="31" t="s">
        <v>80</v>
      </c>
      <c r="D100" s="16" t="str">
        <f>"Variant"&amp;" "&amp;$A$17</f>
        <v>Variant 1a</v>
      </c>
      <c r="E100" s="16" t="str">
        <f>"Variant"&amp;" "&amp;$A$18</f>
        <v>Variant 1b</v>
      </c>
      <c r="F100" s="16" t="str">
        <f>"Variant"&amp;" "&amp;$A$19</f>
        <v>Variant 1c</v>
      </c>
      <c r="G100" s="16" t="str">
        <f>"Variant"&amp;" "&amp;$A$20</f>
        <v>Variant 1d</v>
      </c>
      <c r="H100" s="16" t="str">
        <f>"Variant"&amp;" "&amp;$A$21</f>
        <v>Variant 1e</v>
      </c>
      <c r="I100" s="16" t="str">
        <f>"Variant"&amp;" "&amp;$A$22</f>
        <v>Variant 1f</v>
      </c>
      <c r="J100" s="16" t="str">
        <f>"Variant"&amp;" "&amp;$A$23</f>
        <v>Variant 1g</v>
      </c>
      <c r="K100" s="196" t="s">
        <v>83</v>
      </c>
      <c r="L100" s="196"/>
      <c r="M100" s="196"/>
      <c r="N100" s="196"/>
      <c r="O100" s="196"/>
      <c r="P100" s="196"/>
      <c r="Q100" s="196"/>
      <c r="R100" s="196"/>
    </row>
    <row r="101" spans="2:18" outlineLevel="1" x14ac:dyDescent="0.25">
      <c r="B101" s="19" t="s">
        <v>160</v>
      </c>
      <c r="C101" s="32" t="s">
        <v>161</v>
      </c>
      <c r="D101" s="15">
        <f>IF(D$98="","",_xlfn.XLOOKUP(D$98,'Network costing zones'!$D$4:$F$4,'Network costing zones'!$D5:$F5,"error"))</f>
        <v>240</v>
      </c>
      <c r="E101" s="15">
        <f>IF(E$98="","",_xlfn.XLOOKUP(E$98,'Network costing zones'!$D$4:$F$4,'Network costing zones'!$D5:$F5,"error"))</f>
        <v>240</v>
      </c>
      <c r="F101" s="15">
        <f>IF(F$98="","",_xlfn.XLOOKUP(F$98,'Network costing zones'!$D$4:$F$4,'Network costing zones'!$D5:$F5,"error"))</f>
        <v>240</v>
      </c>
      <c r="G101" s="15">
        <f>IF(G$98="","",_xlfn.XLOOKUP(G$98,'Network costing zones'!$D$4:$F$4,'Network costing zones'!$D5:$F5,"error"))</f>
        <v>240</v>
      </c>
      <c r="H101" s="15">
        <f>IF(H$98="","",_xlfn.XLOOKUP(H$98,'Network costing zones'!$D$4:$F$4,'Network costing zones'!$D5:$F5,"error"))</f>
        <v>0</v>
      </c>
      <c r="I101" s="15">
        <f>IF(I$98="","",_xlfn.XLOOKUP(I$98,'Network costing zones'!$D$4:$F$4,'Network costing zones'!$D5:$F5,"error"))</f>
        <v>0</v>
      </c>
      <c r="J101" s="15">
        <f>IF(J$98="","",_xlfn.XLOOKUP(J$98,'Network costing zones'!$D$4:$F$4,'Network costing zones'!$D5:$F5,"error"))</f>
        <v>0</v>
      </c>
      <c r="K101" s="201" t="s">
        <v>162</v>
      </c>
      <c r="L101" s="201"/>
      <c r="M101" s="201"/>
      <c r="N101" s="201"/>
      <c r="O101" s="201"/>
      <c r="P101" s="201"/>
      <c r="Q101" s="201"/>
      <c r="R101" s="201"/>
    </row>
    <row r="102" spans="2:18" outlineLevel="1" x14ac:dyDescent="0.25">
      <c r="B102" s="19" t="s">
        <v>163</v>
      </c>
      <c r="C102" s="32" t="s">
        <v>161</v>
      </c>
      <c r="D102" s="15">
        <f>IF(D$98="","",_xlfn.XLOOKUP(D$98,'Network costing zones'!$D$4:$F$4,'Network costing zones'!$D6:$F6,"error"))</f>
        <v>600</v>
      </c>
      <c r="E102" s="15">
        <f>IF(E$98="","",_xlfn.XLOOKUP(E$98,'Network costing zones'!$D$4:$F$4,'Network costing zones'!$D6:$F6,"error"))</f>
        <v>600</v>
      </c>
      <c r="F102" s="15">
        <f>IF(F$98="","",_xlfn.XLOOKUP(F$98,'Network costing zones'!$D$4:$F$4,'Network costing zones'!$D6:$F6,"error"))</f>
        <v>600</v>
      </c>
      <c r="G102" s="15">
        <f>IF(G$98="","",_xlfn.XLOOKUP(G$98,'Network costing zones'!$D$4:$F$4,'Network costing zones'!$D6:$F6,"error"))</f>
        <v>600</v>
      </c>
      <c r="H102" s="15">
        <f>IF(H$98="","",_xlfn.XLOOKUP(H$98,'Network costing zones'!$D$4:$F$4,'Network costing zones'!$D6:$F6,"error"))</f>
        <v>0</v>
      </c>
      <c r="I102" s="15">
        <f>IF(I$98="","",_xlfn.XLOOKUP(I$98,'Network costing zones'!$D$4:$F$4,'Network costing zones'!$D6:$F6,"error"))</f>
        <v>0</v>
      </c>
      <c r="J102" s="15">
        <f>IF(J$98="","",_xlfn.XLOOKUP(J$98,'Network costing zones'!$D$4:$F$4,'Network costing zones'!$D6:$F6,"error"))</f>
        <v>0</v>
      </c>
      <c r="K102" s="201"/>
      <c r="L102" s="201"/>
      <c r="M102" s="201"/>
      <c r="N102" s="201"/>
      <c r="O102" s="201"/>
      <c r="P102" s="201"/>
      <c r="Q102" s="201"/>
      <c r="R102" s="201"/>
    </row>
    <row r="103" spans="2:18" outlineLevel="1" x14ac:dyDescent="0.25">
      <c r="B103" s="19" t="s">
        <v>164</v>
      </c>
      <c r="C103" s="32" t="s">
        <v>161</v>
      </c>
      <c r="D103" s="15">
        <f>IF(D$98="","",_xlfn.XLOOKUP(D$98,'Network costing zones'!$D$4:$F$4,'Network costing zones'!$D7:$F7,"error"))</f>
        <v>85</v>
      </c>
      <c r="E103" s="15">
        <f>IF(E$98="","",_xlfn.XLOOKUP(E$98,'Network costing zones'!$D$4:$F$4,'Network costing zones'!$D7:$F7,"error"))</f>
        <v>85</v>
      </c>
      <c r="F103" s="15">
        <f>IF(F$98="","",_xlfn.XLOOKUP(F$98,'Network costing zones'!$D$4:$F$4,'Network costing zones'!$D7:$F7,"error"))</f>
        <v>85</v>
      </c>
      <c r="G103" s="15">
        <f>IF(G$98="","",_xlfn.XLOOKUP(G$98,'Network costing zones'!$D$4:$F$4,'Network costing zones'!$D7:$F7,"error"))</f>
        <v>85</v>
      </c>
      <c r="H103" s="15">
        <f>IF(H$98="","",_xlfn.XLOOKUP(H$98,'Network costing zones'!$D$4:$F$4,'Network costing zones'!$D7:$F7,"error"))</f>
        <v>85</v>
      </c>
      <c r="I103" s="15">
        <f>IF(I$98="","",_xlfn.XLOOKUP(I$98,'Network costing zones'!$D$4:$F$4,'Network costing zones'!$D7:$F7,"error"))</f>
        <v>85</v>
      </c>
      <c r="J103" s="15">
        <f>IF(J$98="","",_xlfn.XLOOKUP(J$98,'Network costing zones'!$D$4:$F$4,'Network costing zones'!$D7:$F7,"error"))</f>
        <v>85</v>
      </c>
      <c r="K103" s="201"/>
      <c r="L103" s="201"/>
      <c r="M103" s="201"/>
      <c r="N103" s="201"/>
      <c r="O103" s="201"/>
      <c r="P103" s="201"/>
      <c r="Q103" s="201"/>
      <c r="R103" s="201"/>
    </row>
    <row r="104" spans="2:18" outlineLevel="1" x14ac:dyDescent="0.25">
      <c r="B104" s="19" t="s">
        <v>165</v>
      </c>
      <c r="C104" s="32" t="s">
        <v>161</v>
      </c>
      <c r="D104" s="15">
        <f>IF(D$98="","",_xlfn.XLOOKUP(D$98,'Network costing zones'!$D$4:$F$4,'Network costing zones'!$D8:$F8,"error"))</f>
        <v>380</v>
      </c>
      <c r="E104" s="15">
        <f>IF(E$98="","",_xlfn.XLOOKUP(E$98,'Network costing zones'!$D$4:$F$4,'Network costing zones'!$D8:$F8,"error"))</f>
        <v>380</v>
      </c>
      <c r="F104" s="15">
        <f>IF(F$98="","",_xlfn.XLOOKUP(F$98,'Network costing zones'!$D$4:$F$4,'Network costing zones'!$D8:$F8,"error"))</f>
        <v>380</v>
      </c>
      <c r="G104" s="15">
        <f>IF(G$98="","",_xlfn.XLOOKUP(G$98,'Network costing zones'!$D$4:$F$4,'Network costing zones'!$D8:$F8,"error"))</f>
        <v>380</v>
      </c>
      <c r="H104" s="15">
        <f>IF(H$98="","",_xlfn.XLOOKUP(H$98,'Network costing zones'!$D$4:$F$4,'Network costing zones'!$D8:$F8,"error"))</f>
        <v>380</v>
      </c>
      <c r="I104" s="15">
        <f>IF(I$98="","",_xlfn.XLOOKUP(I$98,'Network costing zones'!$D$4:$F$4,'Network costing zones'!$D8:$F8,"error"))</f>
        <v>380</v>
      </c>
      <c r="J104" s="15">
        <f>IF(J$98="","",_xlfn.XLOOKUP(J$98,'Network costing zones'!$D$4:$F$4,'Network costing zones'!$D8:$F8,"error"))</f>
        <v>380</v>
      </c>
      <c r="K104" s="201"/>
      <c r="L104" s="201"/>
      <c r="M104" s="201"/>
      <c r="N104" s="201"/>
      <c r="O104" s="201"/>
      <c r="P104" s="201"/>
      <c r="Q104" s="201"/>
      <c r="R104" s="201"/>
    </row>
    <row r="105" spans="2:18" outlineLevel="1" x14ac:dyDescent="0.25">
      <c r="B105" s="19" t="s">
        <v>166</v>
      </c>
      <c r="C105" s="32" t="s">
        <v>161</v>
      </c>
      <c r="D105" s="15">
        <f>IF(D$98="","",_xlfn.XLOOKUP(D$98,'Network costing zones'!$D$4:$F$4,'Network costing zones'!$D9:$F9,"error"))</f>
        <v>140</v>
      </c>
      <c r="E105" s="15">
        <f>IF(E$98="","",_xlfn.XLOOKUP(E$98,'Network costing zones'!$D$4:$F$4,'Network costing zones'!$D9:$F9,"error"))</f>
        <v>140</v>
      </c>
      <c r="F105" s="15">
        <f>IF(F$98="","",_xlfn.XLOOKUP(F$98,'Network costing zones'!$D$4:$F$4,'Network costing zones'!$D9:$F9,"error"))</f>
        <v>140</v>
      </c>
      <c r="G105" s="15">
        <f>IF(G$98="","",_xlfn.XLOOKUP(G$98,'Network costing zones'!$D$4:$F$4,'Network costing zones'!$D9:$F9,"error"))</f>
        <v>140</v>
      </c>
      <c r="H105" s="15">
        <f>IF(H$98="","",_xlfn.XLOOKUP(H$98,'Network costing zones'!$D$4:$F$4,'Network costing zones'!$D9:$F9,"error"))</f>
        <v>100</v>
      </c>
      <c r="I105" s="15">
        <f>IF(I$98="","",_xlfn.XLOOKUP(I$98,'Network costing zones'!$D$4:$F$4,'Network costing zones'!$D9:$F9,"error"))</f>
        <v>100</v>
      </c>
      <c r="J105" s="15">
        <f>IF(J$98="","",_xlfn.XLOOKUP(J$98,'Network costing zones'!$D$4:$F$4,'Network costing zones'!$D9:$F9,"error"))</f>
        <v>100</v>
      </c>
      <c r="K105" s="201"/>
      <c r="L105" s="201"/>
      <c r="M105" s="201"/>
      <c r="N105" s="201"/>
      <c r="O105" s="201"/>
      <c r="P105" s="201"/>
      <c r="Q105" s="201"/>
      <c r="R105" s="201"/>
    </row>
    <row r="106" spans="2:18" outlineLevel="1" x14ac:dyDescent="0.25"/>
    <row r="107" spans="2:18" ht="30" outlineLevel="1" x14ac:dyDescent="0.25">
      <c r="B107" s="7" t="s">
        <v>167</v>
      </c>
      <c r="C107" s="31" t="s">
        <v>80</v>
      </c>
      <c r="D107" s="16" t="str">
        <f>"Variant"&amp;" "&amp;$A$17</f>
        <v>Variant 1a</v>
      </c>
      <c r="E107" s="16" t="str">
        <f>"Variant"&amp;" "&amp;$A$18</f>
        <v>Variant 1b</v>
      </c>
      <c r="F107" s="16" t="str">
        <f>"Variant"&amp;" "&amp;$A$19</f>
        <v>Variant 1c</v>
      </c>
      <c r="G107" s="16" t="str">
        <f>"Variant"&amp;" "&amp;$A$20</f>
        <v>Variant 1d</v>
      </c>
      <c r="H107" s="16" t="str">
        <f>"Variant"&amp;" "&amp;$A$21</f>
        <v>Variant 1e</v>
      </c>
      <c r="I107" s="16" t="str">
        <f>"Variant"&amp;" "&amp;$A$22</f>
        <v>Variant 1f</v>
      </c>
      <c r="J107" s="16" t="str">
        <f>"Variant"&amp;" "&amp;$A$23</f>
        <v>Variant 1g</v>
      </c>
      <c r="K107" s="196" t="s">
        <v>83</v>
      </c>
      <c r="L107" s="196"/>
      <c r="M107" s="196"/>
      <c r="N107" s="196"/>
      <c r="O107" s="196"/>
      <c r="P107" s="196"/>
      <c r="Q107" s="196"/>
      <c r="R107" s="196"/>
    </row>
    <row r="108" spans="2:18" outlineLevel="1" x14ac:dyDescent="0.25">
      <c r="B108" s="19" t="s">
        <v>160</v>
      </c>
      <c r="C108" s="32" t="s">
        <v>168</v>
      </c>
      <c r="D108" s="118">
        <v>5</v>
      </c>
      <c r="E108" s="118">
        <f>D108</f>
        <v>5</v>
      </c>
      <c r="F108" s="118">
        <f>E108</f>
        <v>5</v>
      </c>
      <c r="G108" s="118">
        <v>3</v>
      </c>
      <c r="H108" s="118">
        <v>4</v>
      </c>
      <c r="I108" s="118">
        <v>4</v>
      </c>
      <c r="J108" s="118">
        <v>4</v>
      </c>
      <c r="K108" s="201" t="s">
        <v>169</v>
      </c>
      <c r="L108" s="201"/>
      <c r="M108" s="201"/>
      <c r="N108" s="201"/>
      <c r="O108" s="201"/>
      <c r="P108" s="201"/>
      <c r="Q108" s="201"/>
      <c r="R108" s="201"/>
    </row>
    <row r="109" spans="2:18" outlineLevel="1" x14ac:dyDescent="0.25">
      <c r="B109" s="19" t="s">
        <v>163</v>
      </c>
      <c r="C109" s="32" t="s">
        <v>168</v>
      </c>
      <c r="D109" s="118">
        <v>2.5</v>
      </c>
      <c r="E109" s="118">
        <f t="shared" ref="E109:F112" si="4">D109</f>
        <v>2.5</v>
      </c>
      <c r="F109" s="118">
        <f t="shared" si="4"/>
        <v>2.5</v>
      </c>
      <c r="G109" s="118">
        <v>0.5</v>
      </c>
      <c r="H109" s="118">
        <v>4</v>
      </c>
      <c r="I109" s="118">
        <v>4</v>
      </c>
      <c r="J109" s="118">
        <v>4</v>
      </c>
      <c r="K109" s="201"/>
      <c r="L109" s="201"/>
      <c r="M109" s="201"/>
      <c r="N109" s="201"/>
      <c r="O109" s="201"/>
      <c r="P109" s="201"/>
      <c r="Q109" s="201"/>
      <c r="R109" s="201"/>
    </row>
    <row r="110" spans="2:18" outlineLevel="1" x14ac:dyDescent="0.25">
      <c r="B110" s="19" t="s">
        <v>164</v>
      </c>
      <c r="C110" s="32" t="s">
        <v>168</v>
      </c>
      <c r="D110" s="118">
        <v>2.5</v>
      </c>
      <c r="E110" s="118">
        <f t="shared" si="4"/>
        <v>2.5</v>
      </c>
      <c r="F110" s="118">
        <f t="shared" si="4"/>
        <v>2.5</v>
      </c>
      <c r="G110" s="118">
        <v>0.5</v>
      </c>
      <c r="H110" s="118">
        <v>2</v>
      </c>
      <c r="I110" s="118">
        <v>2</v>
      </c>
      <c r="J110" s="118">
        <v>2</v>
      </c>
      <c r="K110" s="201"/>
      <c r="L110" s="201"/>
      <c r="M110" s="201"/>
      <c r="N110" s="201"/>
      <c r="O110" s="201"/>
      <c r="P110" s="201"/>
      <c r="Q110" s="201"/>
      <c r="R110" s="201"/>
    </row>
    <row r="111" spans="2:18" x14ac:dyDescent="0.25">
      <c r="B111" s="19" t="s">
        <v>165</v>
      </c>
      <c r="C111" s="32" t="s">
        <v>168</v>
      </c>
      <c r="D111" s="118">
        <v>2</v>
      </c>
      <c r="E111" s="118">
        <f t="shared" si="4"/>
        <v>2</v>
      </c>
      <c r="F111" s="118">
        <f t="shared" si="4"/>
        <v>2</v>
      </c>
      <c r="G111" s="118">
        <v>0.5</v>
      </c>
      <c r="H111" s="118">
        <v>2</v>
      </c>
      <c r="I111" s="118">
        <v>2</v>
      </c>
      <c r="J111" s="118">
        <v>2</v>
      </c>
      <c r="K111" s="201"/>
      <c r="L111" s="201"/>
      <c r="M111" s="201"/>
      <c r="N111" s="201"/>
      <c r="O111" s="201"/>
      <c r="P111" s="201"/>
      <c r="Q111" s="201"/>
      <c r="R111" s="201"/>
    </row>
    <row r="112" spans="2:18" x14ac:dyDescent="0.25">
      <c r="B112" s="19" t="s">
        <v>166</v>
      </c>
      <c r="C112" s="32" t="s">
        <v>168</v>
      </c>
      <c r="D112" s="118">
        <v>1.5</v>
      </c>
      <c r="E112" s="118">
        <f t="shared" si="4"/>
        <v>1.5</v>
      </c>
      <c r="F112" s="118">
        <f t="shared" si="4"/>
        <v>1.5</v>
      </c>
      <c r="G112" s="118">
        <v>0.5</v>
      </c>
      <c r="H112" s="118">
        <v>1.5</v>
      </c>
      <c r="I112" s="118">
        <v>1.5</v>
      </c>
      <c r="J112" s="118">
        <v>1.5</v>
      </c>
      <c r="K112" s="201"/>
      <c r="L112" s="201"/>
      <c r="M112" s="201"/>
      <c r="N112" s="201"/>
      <c r="O112" s="201"/>
      <c r="P112" s="201"/>
      <c r="Q112" s="201"/>
      <c r="R112" s="201"/>
    </row>
    <row r="113" spans="1:21" x14ac:dyDescent="0.25">
      <c r="D113" s="14"/>
    </row>
    <row r="114" spans="1:21" ht="30" x14ac:dyDescent="0.25">
      <c r="A114" s="20"/>
      <c r="B114" s="7" t="s">
        <v>170</v>
      </c>
      <c r="C114" s="101" t="s">
        <v>80</v>
      </c>
      <c r="D114" s="16" t="str">
        <f>"Variant"&amp;" "&amp;$A$17</f>
        <v>Variant 1a</v>
      </c>
      <c r="E114" s="16" t="str">
        <f>"Variant"&amp;" "&amp;$A$18</f>
        <v>Variant 1b</v>
      </c>
      <c r="F114" s="16" t="str">
        <f>"Variant"&amp;" "&amp;$A$19</f>
        <v>Variant 1c</v>
      </c>
      <c r="G114" s="16" t="str">
        <f>"Variant"&amp;" "&amp;$A$20</f>
        <v>Variant 1d</v>
      </c>
      <c r="H114" s="16" t="str">
        <f>"Variant"&amp;" "&amp;$A$21</f>
        <v>Variant 1e</v>
      </c>
      <c r="I114" s="16" t="str">
        <f>"Variant"&amp;" "&amp;$A$22</f>
        <v>Variant 1f</v>
      </c>
      <c r="J114" s="16" t="str">
        <f>"Variant"&amp;" "&amp;$A$23</f>
        <v>Variant 1g</v>
      </c>
      <c r="K114" s="196" t="s">
        <v>83</v>
      </c>
      <c r="L114" s="196"/>
      <c r="M114" s="196"/>
      <c r="N114" s="196"/>
      <c r="O114" s="196"/>
      <c r="P114" s="196"/>
      <c r="Q114" s="196"/>
      <c r="R114" s="196"/>
    </row>
    <row r="115" spans="1:21" x14ac:dyDescent="0.25">
      <c r="B115" s="19" t="s">
        <v>160</v>
      </c>
      <c r="C115" s="121" t="s">
        <v>85</v>
      </c>
      <c r="D115" s="17">
        <f t="shared" ref="D115:J119" si="5">D101*D108</f>
        <v>1200</v>
      </c>
      <c r="E115" s="17">
        <f t="shared" si="5"/>
        <v>1200</v>
      </c>
      <c r="F115" s="17">
        <f t="shared" si="5"/>
        <v>1200</v>
      </c>
      <c r="G115" s="17">
        <f t="shared" si="5"/>
        <v>720</v>
      </c>
      <c r="H115" s="17">
        <f t="shared" si="5"/>
        <v>0</v>
      </c>
      <c r="I115" s="17">
        <f t="shared" si="5"/>
        <v>0</v>
      </c>
      <c r="J115" s="17">
        <f t="shared" si="5"/>
        <v>0</v>
      </c>
      <c r="K115" s="201" t="s">
        <v>171</v>
      </c>
      <c r="L115" s="201"/>
      <c r="M115" s="201"/>
      <c r="N115" s="201"/>
      <c r="O115" s="201"/>
      <c r="P115" s="201"/>
      <c r="Q115" s="201"/>
      <c r="R115" s="201"/>
      <c r="S115" s="168"/>
      <c r="T115" s="168"/>
      <c r="U115" s="168"/>
    </row>
    <row r="116" spans="1:21" x14ac:dyDescent="0.25">
      <c r="B116" s="19" t="s">
        <v>163</v>
      </c>
      <c r="C116" s="121" t="s">
        <v>85</v>
      </c>
      <c r="D116" s="17">
        <f t="shared" si="5"/>
        <v>1500</v>
      </c>
      <c r="E116" s="17">
        <f t="shared" si="5"/>
        <v>1500</v>
      </c>
      <c r="F116" s="17">
        <f t="shared" si="5"/>
        <v>1500</v>
      </c>
      <c r="G116" s="17">
        <f t="shared" si="5"/>
        <v>300</v>
      </c>
      <c r="H116" s="17">
        <f t="shared" si="5"/>
        <v>0</v>
      </c>
      <c r="I116" s="17">
        <f t="shared" si="5"/>
        <v>0</v>
      </c>
      <c r="J116" s="17">
        <f t="shared" si="5"/>
        <v>0</v>
      </c>
      <c r="K116" s="201"/>
      <c r="L116" s="201"/>
      <c r="M116" s="201"/>
      <c r="N116" s="201"/>
      <c r="O116" s="201"/>
      <c r="P116" s="201"/>
      <c r="Q116" s="201"/>
      <c r="R116" s="201"/>
      <c r="S116" s="168"/>
      <c r="T116" s="168"/>
      <c r="U116" s="168"/>
    </row>
    <row r="117" spans="1:21" x14ac:dyDescent="0.25">
      <c r="B117" s="19" t="s">
        <v>164</v>
      </c>
      <c r="C117" s="121" t="s">
        <v>85</v>
      </c>
      <c r="D117" s="17">
        <f t="shared" si="5"/>
        <v>212.5</v>
      </c>
      <c r="E117" s="17">
        <f t="shared" si="5"/>
        <v>212.5</v>
      </c>
      <c r="F117" s="17">
        <f t="shared" si="5"/>
        <v>212.5</v>
      </c>
      <c r="G117" s="17">
        <f t="shared" si="5"/>
        <v>42.5</v>
      </c>
      <c r="H117" s="17">
        <f t="shared" si="5"/>
        <v>170</v>
      </c>
      <c r="I117" s="17">
        <f t="shared" si="5"/>
        <v>170</v>
      </c>
      <c r="J117" s="17">
        <f t="shared" si="5"/>
        <v>170</v>
      </c>
      <c r="K117" s="201"/>
      <c r="L117" s="201"/>
      <c r="M117" s="201"/>
      <c r="N117" s="201"/>
      <c r="O117" s="201"/>
      <c r="P117" s="201"/>
      <c r="Q117" s="201"/>
      <c r="R117" s="201"/>
      <c r="S117" s="168"/>
      <c r="T117" s="168"/>
      <c r="U117" s="168"/>
    </row>
    <row r="118" spans="1:21" x14ac:dyDescent="0.25">
      <c r="B118" s="19" t="s">
        <v>165</v>
      </c>
      <c r="C118" s="121" t="s">
        <v>85</v>
      </c>
      <c r="D118" s="17">
        <f t="shared" si="5"/>
        <v>760</v>
      </c>
      <c r="E118" s="17">
        <f t="shared" si="5"/>
        <v>760</v>
      </c>
      <c r="F118" s="17">
        <f t="shared" si="5"/>
        <v>760</v>
      </c>
      <c r="G118" s="17">
        <f t="shared" si="5"/>
        <v>190</v>
      </c>
      <c r="H118" s="17">
        <f t="shared" si="5"/>
        <v>760</v>
      </c>
      <c r="I118" s="17">
        <f t="shared" si="5"/>
        <v>760</v>
      </c>
      <c r="J118" s="17">
        <f t="shared" si="5"/>
        <v>760</v>
      </c>
      <c r="K118" s="201"/>
      <c r="L118" s="201"/>
      <c r="M118" s="201"/>
      <c r="N118" s="201"/>
      <c r="O118" s="201"/>
      <c r="P118" s="201"/>
      <c r="Q118" s="201"/>
      <c r="R118" s="201"/>
      <c r="S118" s="168"/>
      <c r="T118" s="168"/>
      <c r="U118" s="168"/>
    </row>
    <row r="119" spans="1:21" x14ac:dyDescent="0.25">
      <c r="B119" s="19" t="s">
        <v>166</v>
      </c>
      <c r="C119" s="121" t="s">
        <v>85</v>
      </c>
      <c r="D119" s="17">
        <f t="shared" si="5"/>
        <v>210</v>
      </c>
      <c r="E119" s="17">
        <f t="shared" si="5"/>
        <v>210</v>
      </c>
      <c r="F119" s="17">
        <f t="shared" si="5"/>
        <v>210</v>
      </c>
      <c r="G119" s="17">
        <f t="shared" si="5"/>
        <v>70</v>
      </c>
      <c r="H119" s="17">
        <f t="shared" si="5"/>
        <v>150</v>
      </c>
      <c r="I119" s="17">
        <f t="shared" si="5"/>
        <v>150</v>
      </c>
      <c r="J119" s="17">
        <f t="shared" si="5"/>
        <v>150</v>
      </c>
      <c r="K119" s="201"/>
      <c r="L119" s="201"/>
      <c r="M119" s="201"/>
      <c r="N119" s="201"/>
      <c r="O119" s="201"/>
      <c r="P119" s="201"/>
      <c r="Q119" s="201"/>
      <c r="R119" s="201"/>
      <c r="S119" s="168"/>
      <c r="T119" s="168"/>
      <c r="U119" s="168"/>
    </row>
    <row r="120" spans="1:21" ht="30.75" thickBot="1" x14ac:dyDescent="0.3">
      <c r="B120" s="56" t="s">
        <v>172</v>
      </c>
      <c r="C120" s="43" t="s">
        <v>85</v>
      </c>
      <c r="D120" s="51">
        <f>SUM(D115:D119)</f>
        <v>3882.5</v>
      </c>
      <c r="E120" s="51">
        <f t="shared" ref="E120:J120" si="6">SUM(E115:E119)</f>
        <v>3882.5</v>
      </c>
      <c r="F120" s="51">
        <f t="shared" si="6"/>
        <v>3882.5</v>
      </c>
      <c r="G120" s="51">
        <f t="shared" si="6"/>
        <v>1322.5</v>
      </c>
      <c r="H120" s="51">
        <f t="shared" si="6"/>
        <v>1080</v>
      </c>
      <c r="I120" s="51">
        <f t="shared" si="6"/>
        <v>1080</v>
      </c>
      <c r="J120" s="51">
        <f t="shared" si="6"/>
        <v>1080</v>
      </c>
    </row>
    <row r="121" spans="1:21" ht="15.75" thickTop="1" x14ac:dyDescent="0.25">
      <c r="D121" s="14"/>
    </row>
    <row r="122" spans="1:21" s="8" customFormat="1" ht="15.75" outlineLevel="1" thickBot="1" x14ac:dyDescent="0.3">
      <c r="A122" s="8" t="s">
        <v>173</v>
      </c>
    </row>
    <row r="123" spans="1:21" outlineLevel="2" x14ac:dyDescent="0.25">
      <c r="B123" s="34"/>
      <c r="C123" s="4"/>
      <c r="D123" s="47"/>
      <c r="E123" s="47"/>
      <c r="F123" s="47"/>
      <c r="G123" s="47"/>
      <c r="H123" s="47"/>
      <c r="I123" s="47"/>
      <c r="J123" s="47"/>
    </row>
    <row r="124" spans="1:21" ht="30" outlineLevel="2" x14ac:dyDescent="0.25">
      <c r="B124" s="21" t="s">
        <v>173</v>
      </c>
      <c r="C124" s="31" t="s">
        <v>80</v>
      </c>
      <c r="D124" s="16" t="str">
        <f>"Variant"&amp;" "&amp;$A$17</f>
        <v>Variant 1a</v>
      </c>
      <c r="E124" s="16" t="str">
        <f>"Variant"&amp;" "&amp;$A$18</f>
        <v>Variant 1b</v>
      </c>
      <c r="F124" s="16" t="str">
        <f>"Variant"&amp;" "&amp;$A$19</f>
        <v>Variant 1c</v>
      </c>
      <c r="G124" s="16" t="str">
        <f>"Variant"&amp;" "&amp;$A$20</f>
        <v>Variant 1d</v>
      </c>
      <c r="H124" s="16" t="str">
        <f>"Variant"&amp;" "&amp;$A$21</f>
        <v>Variant 1e</v>
      </c>
      <c r="I124" s="16" t="str">
        <f>"Variant"&amp;" "&amp;$A$22</f>
        <v>Variant 1f</v>
      </c>
      <c r="J124" s="16" t="str">
        <f>"Variant"&amp;" "&amp;$A$23</f>
        <v>Variant 1g</v>
      </c>
      <c r="K124" s="196" t="s">
        <v>83</v>
      </c>
      <c r="L124" s="196"/>
      <c r="M124" s="196"/>
      <c r="N124" s="196"/>
      <c r="O124" s="196"/>
      <c r="P124" s="196"/>
      <c r="Q124" s="196"/>
      <c r="R124" s="196"/>
    </row>
    <row r="125" spans="1:21" ht="37.5" customHeight="1" outlineLevel="2" x14ac:dyDescent="0.25">
      <c r="B125" s="66" t="s">
        <v>174</v>
      </c>
      <c r="C125" s="31" t="s">
        <v>85</v>
      </c>
      <c r="D125" s="9">
        <v>1330</v>
      </c>
      <c r="E125" s="9">
        <v>1330</v>
      </c>
      <c r="F125" s="9">
        <v>1330</v>
      </c>
      <c r="G125" s="9">
        <f>G66</f>
        <v>2722.5</v>
      </c>
      <c r="H125" s="9">
        <v>11476</v>
      </c>
      <c r="I125" s="9">
        <v>11476</v>
      </c>
      <c r="J125" s="9">
        <v>11476</v>
      </c>
      <c r="K125" s="201" t="s">
        <v>175</v>
      </c>
      <c r="L125" s="201"/>
      <c r="M125" s="201"/>
      <c r="N125" s="201"/>
      <c r="O125" s="201"/>
      <c r="P125" s="201"/>
      <c r="Q125" s="201"/>
      <c r="R125" s="201"/>
    </row>
    <row r="126" spans="1:21" outlineLevel="2" x14ac:dyDescent="0.25"/>
    <row r="127" spans="1:21" s="151" customFormat="1" ht="18" thickBot="1" x14ac:dyDescent="0.35">
      <c r="A127" s="151" t="s">
        <v>176</v>
      </c>
    </row>
    <row r="128" spans="1:21" ht="15.75" outlineLevel="1" thickTop="1" x14ac:dyDescent="0.25">
      <c r="B128" s="4"/>
      <c r="F128" s="161"/>
      <c r="G128" s="161"/>
      <c r="H128" s="161"/>
      <c r="I128" s="161"/>
      <c r="J128" s="161"/>
      <c r="K128" s="161"/>
    </row>
    <row r="129" spans="1:18" outlineLevel="1" x14ac:dyDescent="0.25">
      <c r="A129" s="11" t="s">
        <v>177</v>
      </c>
      <c r="B129" s="4"/>
      <c r="F129" s="161"/>
      <c r="G129" s="161"/>
      <c r="H129" s="161"/>
      <c r="I129" s="161"/>
      <c r="J129" s="161"/>
      <c r="K129" s="161"/>
    </row>
    <row r="130" spans="1:18" outlineLevel="1" x14ac:dyDescent="0.25">
      <c r="B130" s="4"/>
      <c r="F130" s="161"/>
      <c r="G130" s="161"/>
      <c r="H130" s="161"/>
      <c r="I130" s="161"/>
      <c r="J130" s="161"/>
      <c r="K130" s="161"/>
    </row>
    <row r="131" spans="1:18" outlineLevel="2" x14ac:dyDescent="0.25">
      <c r="B131" s="21" t="s">
        <v>178</v>
      </c>
      <c r="C131" s="31" t="s">
        <v>80</v>
      </c>
      <c r="D131" s="16" t="str">
        <f>"Variant"&amp;" "&amp;$A$17</f>
        <v>Variant 1a</v>
      </c>
      <c r="E131" s="16" t="str">
        <f>"Variant"&amp;" "&amp;$A$18</f>
        <v>Variant 1b</v>
      </c>
      <c r="F131" s="16" t="str">
        <f>"Variant"&amp;" "&amp;$A$19</f>
        <v>Variant 1c</v>
      </c>
      <c r="G131" s="16" t="str">
        <f>"Variant"&amp;" "&amp;$A$20</f>
        <v>Variant 1d</v>
      </c>
      <c r="H131" s="16" t="str">
        <f>"Variant"&amp;" "&amp;$A$21</f>
        <v>Variant 1e</v>
      </c>
      <c r="I131" s="16" t="str">
        <f>"Variant"&amp;" "&amp;$A$22</f>
        <v>Variant 1f</v>
      </c>
      <c r="J131" s="16" t="str">
        <f>"Variant"&amp;" "&amp;$A$23</f>
        <v>Variant 1g</v>
      </c>
      <c r="K131" s="196" t="s">
        <v>83</v>
      </c>
      <c r="L131" s="196"/>
      <c r="M131" s="196"/>
      <c r="N131" s="196"/>
      <c r="O131" s="196"/>
      <c r="P131" s="196"/>
      <c r="Q131" s="196"/>
      <c r="R131" s="196"/>
    </row>
    <row r="132" spans="1:18" outlineLevel="2" x14ac:dyDescent="0.25">
      <c r="B132" s="19" t="s">
        <v>141</v>
      </c>
      <c r="C132" s="32" t="s">
        <v>85</v>
      </c>
      <c r="D132" s="9"/>
      <c r="E132" s="9">
        <v>300</v>
      </c>
      <c r="F132" s="9">
        <v>300</v>
      </c>
      <c r="G132" s="9"/>
      <c r="H132" s="9"/>
      <c r="I132" s="9"/>
      <c r="J132" s="9"/>
      <c r="K132" s="201" t="s">
        <v>179</v>
      </c>
      <c r="L132" s="201"/>
      <c r="M132" s="201"/>
      <c r="N132" s="201"/>
      <c r="O132" s="201"/>
      <c r="P132" s="201"/>
      <c r="Q132" s="201"/>
      <c r="R132" s="201"/>
    </row>
    <row r="133" spans="1:18" outlineLevel="2" x14ac:dyDescent="0.25">
      <c r="B133" s="19" t="s">
        <v>180</v>
      </c>
      <c r="C133" s="32" t="s">
        <v>85</v>
      </c>
      <c r="D133" s="9"/>
      <c r="E133" s="9">
        <v>100</v>
      </c>
      <c r="F133" s="9">
        <v>100</v>
      </c>
      <c r="G133" s="9"/>
      <c r="H133" s="9"/>
      <c r="I133" s="9"/>
      <c r="J133" s="9"/>
      <c r="K133" s="201" t="s">
        <v>181</v>
      </c>
      <c r="L133" s="201"/>
      <c r="M133" s="201"/>
      <c r="N133" s="201"/>
      <c r="O133" s="201"/>
      <c r="P133" s="201"/>
      <c r="Q133" s="201"/>
      <c r="R133" s="201"/>
    </row>
    <row r="134" spans="1:18" outlineLevel="2" x14ac:dyDescent="0.25">
      <c r="B134" s="19" t="s">
        <v>147</v>
      </c>
      <c r="C134" s="32" t="s">
        <v>85</v>
      </c>
      <c r="D134" s="9"/>
      <c r="E134" s="9">
        <v>600</v>
      </c>
      <c r="F134" s="9">
        <v>600</v>
      </c>
      <c r="G134" s="9"/>
      <c r="H134" s="9"/>
      <c r="I134" s="9"/>
      <c r="J134" s="9"/>
      <c r="K134" s="201" t="s">
        <v>182</v>
      </c>
      <c r="L134" s="201"/>
      <c r="M134" s="201"/>
      <c r="N134" s="201"/>
      <c r="O134" s="201"/>
      <c r="P134" s="201"/>
      <c r="Q134" s="201"/>
      <c r="R134" s="201"/>
    </row>
    <row r="135" spans="1:18" ht="15.75" outlineLevel="2" thickBot="1" x14ac:dyDescent="0.3">
      <c r="A135" s="10"/>
      <c r="B135" s="50" t="s">
        <v>183</v>
      </c>
      <c r="C135" s="49" t="s">
        <v>85</v>
      </c>
      <c r="D135" s="51">
        <f t="shared" ref="D135:J135" si="7">SUM(D132:D134)</f>
        <v>0</v>
      </c>
      <c r="E135" s="51">
        <f t="shared" si="7"/>
        <v>1000</v>
      </c>
      <c r="F135" s="51">
        <f t="shared" si="7"/>
        <v>1000</v>
      </c>
      <c r="G135" s="51">
        <f t="shared" si="7"/>
        <v>0</v>
      </c>
      <c r="H135" s="51">
        <f t="shared" si="7"/>
        <v>0</v>
      </c>
      <c r="I135" s="51">
        <f t="shared" si="7"/>
        <v>0</v>
      </c>
      <c r="J135" s="51">
        <f t="shared" si="7"/>
        <v>0</v>
      </c>
      <c r="K135" s="30"/>
    </row>
    <row r="136" spans="1:18" ht="15.75" outlineLevel="2" thickTop="1" x14ac:dyDescent="0.25"/>
    <row r="137" spans="1:18" outlineLevel="1" x14ac:dyDescent="0.25">
      <c r="A137" s="11" t="s">
        <v>184</v>
      </c>
      <c r="B137" s="4"/>
      <c r="F137" s="161"/>
      <c r="G137" s="161"/>
      <c r="H137" s="161"/>
      <c r="I137" s="161"/>
      <c r="J137" s="161"/>
      <c r="K137" s="161"/>
    </row>
    <row r="138" spans="1:18" outlineLevel="1" x14ac:dyDescent="0.25">
      <c r="A138" s="11"/>
      <c r="B138" s="4"/>
      <c r="F138" s="161"/>
      <c r="G138" s="161"/>
      <c r="H138" s="161"/>
      <c r="I138" s="161"/>
      <c r="J138" s="161"/>
      <c r="K138" s="161"/>
    </row>
    <row r="139" spans="1:18" outlineLevel="1" x14ac:dyDescent="0.25">
      <c r="C139" s="31" t="s">
        <v>80</v>
      </c>
      <c r="D139" s="16" t="str">
        <f>"Variant"&amp;" "&amp;$A$17</f>
        <v>Variant 1a</v>
      </c>
      <c r="E139" s="16" t="str">
        <f>"Variant"&amp;" "&amp;$A$18</f>
        <v>Variant 1b</v>
      </c>
      <c r="F139" s="16" t="str">
        <f>"Variant"&amp;" "&amp;$A$19</f>
        <v>Variant 1c</v>
      </c>
      <c r="G139" s="16" t="str">
        <f>"Variant"&amp;" "&amp;$A$20</f>
        <v>Variant 1d</v>
      </c>
      <c r="H139" s="16" t="str">
        <f>"Variant"&amp;" "&amp;$A$21</f>
        <v>Variant 1e</v>
      </c>
      <c r="I139" s="16" t="str">
        <f>"Variant"&amp;" "&amp;$A$22</f>
        <v>Variant 1f</v>
      </c>
      <c r="J139" s="16" t="str">
        <f>"Variant"&amp;" "&amp;$A$23</f>
        <v>Variant 1g</v>
      </c>
      <c r="K139" s="196" t="s">
        <v>83</v>
      </c>
      <c r="L139" s="196"/>
      <c r="M139" s="196"/>
      <c r="N139" s="196"/>
      <c r="O139" s="196"/>
      <c r="P139" s="196"/>
      <c r="Q139" s="196"/>
      <c r="R139" s="196"/>
    </row>
    <row r="140" spans="1:18" outlineLevel="1" x14ac:dyDescent="0.25">
      <c r="B140" s="31" t="s">
        <v>154</v>
      </c>
      <c r="C140" s="32" t="s">
        <v>155</v>
      </c>
      <c r="D140" s="167" t="str">
        <f>D98</f>
        <v>Urban</v>
      </c>
      <c r="E140" s="167" t="str">
        <f t="shared" ref="E140:J140" si="8">E98</f>
        <v>Urban</v>
      </c>
      <c r="F140" s="167" t="str">
        <f t="shared" si="8"/>
        <v>Urban</v>
      </c>
      <c r="G140" s="167" t="str">
        <f t="shared" si="8"/>
        <v>Urban</v>
      </c>
      <c r="H140" s="167" t="str">
        <f t="shared" si="8"/>
        <v>Rural A</v>
      </c>
      <c r="I140" s="167" t="str">
        <f t="shared" si="8"/>
        <v>Rural A</v>
      </c>
      <c r="J140" s="167" t="str">
        <f t="shared" si="8"/>
        <v>Rural A</v>
      </c>
      <c r="K140" s="201" t="s">
        <v>185</v>
      </c>
      <c r="L140" s="201"/>
      <c r="M140" s="201"/>
      <c r="N140" s="201"/>
      <c r="O140" s="201"/>
      <c r="P140" s="201"/>
      <c r="Q140" s="201"/>
      <c r="R140" s="201"/>
    </row>
    <row r="141" spans="1:18" outlineLevel="1" x14ac:dyDescent="0.25"/>
    <row r="142" spans="1:18" outlineLevel="1" x14ac:dyDescent="0.25">
      <c r="B142" s="31" t="s">
        <v>159</v>
      </c>
      <c r="C142" s="31" t="s">
        <v>80</v>
      </c>
      <c r="D142" s="16" t="str">
        <f>"Variant"&amp;" "&amp;$A$17</f>
        <v>Variant 1a</v>
      </c>
      <c r="E142" s="16" t="str">
        <f>"Variant"&amp;" "&amp;$A$18</f>
        <v>Variant 1b</v>
      </c>
      <c r="F142" s="16" t="str">
        <f>"Variant"&amp;" "&amp;$A$19</f>
        <v>Variant 1c</v>
      </c>
      <c r="G142" s="16" t="str">
        <f>"Variant"&amp;" "&amp;$A$20</f>
        <v>Variant 1d</v>
      </c>
      <c r="H142" s="16" t="str">
        <f>"Variant"&amp;" "&amp;$A$21</f>
        <v>Variant 1e</v>
      </c>
      <c r="I142" s="16" t="str">
        <f>"Variant"&amp;" "&amp;$A$22</f>
        <v>Variant 1f</v>
      </c>
      <c r="J142" s="16" t="str">
        <f>"Variant"&amp;" "&amp;$A$23</f>
        <v>Variant 1g</v>
      </c>
      <c r="K142" s="196" t="s">
        <v>83</v>
      </c>
      <c r="L142" s="196"/>
      <c r="M142" s="196"/>
      <c r="N142" s="196"/>
      <c r="O142" s="196"/>
      <c r="P142" s="196"/>
      <c r="Q142" s="196"/>
      <c r="R142" s="196"/>
    </row>
    <row r="143" spans="1:18" outlineLevel="1" x14ac:dyDescent="0.25">
      <c r="B143" s="19" t="s">
        <v>160</v>
      </c>
      <c r="C143" s="32" t="s">
        <v>161</v>
      </c>
      <c r="D143" s="15">
        <f>IF(D$140="","",_xlfn.XLOOKUP(D$140,'Network costing zones'!$D$4:$F$4,'Network costing zones'!$D5:$F5,"error"))</f>
        <v>240</v>
      </c>
      <c r="E143" s="15">
        <f>IF(E$140="","",_xlfn.XLOOKUP(E$140,'Network costing zones'!$D$4:$F$4,'Network costing zones'!$D5:$F5,"error"))</f>
        <v>240</v>
      </c>
      <c r="F143" s="15">
        <f>IF(F$140="","",_xlfn.XLOOKUP(F$140,'Network costing zones'!$D$4:$F$4,'Network costing zones'!$D5:$F5,"error"))</f>
        <v>240</v>
      </c>
      <c r="G143" s="15">
        <f>IF(G$140="","",_xlfn.XLOOKUP(G$140,'Network costing zones'!$D$4:$F$4,'Network costing zones'!$D5:$F5,"error"))</f>
        <v>240</v>
      </c>
      <c r="H143" s="15">
        <f>IF(H$140="","",_xlfn.XLOOKUP(H$140,'Network costing zones'!$D$4:$F$4,'Network costing zones'!$D5:$F5,"error"))</f>
        <v>0</v>
      </c>
      <c r="I143" s="15">
        <f>IF(I$140="","",_xlfn.XLOOKUP(I$140,'Network costing zones'!$D$4:$F$4,'Network costing zones'!$D5:$F5,"error"))</f>
        <v>0</v>
      </c>
      <c r="J143" s="15">
        <f>IF(J$140="","",_xlfn.XLOOKUP(J$140,'Network costing zones'!$D$4:$F$4,'Network costing zones'!$D5:$F5,"error"))</f>
        <v>0</v>
      </c>
      <c r="K143" s="201" t="s">
        <v>162</v>
      </c>
      <c r="L143" s="201"/>
      <c r="M143" s="201"/>
      <c r="N143" s="201"/>
      <c r="O143" s="201"/>
      <c r="P143" s="201"/>
      <c r="Q143" s="201"/>
      <c r="R143" s="201"/>
    </row>
    <row r="144" spans="1:18" outlineLevel="1" x14ac:dyDescent="0.25">
      <c r="B144" s="19" t="s">
        <v>163</v>
      </c>
      <c r="C144" s="32" t="s">
        <v>161</v>
      </c>
      <c r="D144" s="15">
        <f>IF(D$140="","",_xlfn.XLOOKUP(D$140,'Network costing zones'!$D$4:$F$4,'Network costing zones'!$D6:$F6,"error"))</f>
        <v>600</v>
      </c>
      <c r="E144" s="15">
        <f>IF(E$140="","",_xlfn.XLOOKUP(E$140,'Network costing zones'!$D$4:$F$4,'Network costing zones'!$D6:$F6,"error"))</f>
        <v>600</v>
      </c>
      <c r="F144" s="15">
        <f>IF(F$140="","",_xlfn.XLOOKUP(F$140,'Network costing zones'!$D$4:$F$4,'Network costing zones'!$D6:$F6,"error"))</f>
        <v>600</v>
      </c>
      <c r="G144" s="15">
        <f>IF(G$140="","",_xlfn.XLOOKUP(G$140,'Network costing zones'!$D$4:$F$4,'Network costing zones'!$D6:$F6,"error"))</f>
        <v>600</v>
      </c>
      <c r="H144" s="15">
        <f>IF(H$140="","",_xlfn.XLOOKUP(H$140,'Network costing zones'!$D$4:$F$4,'Network costing zones'!$D6:$F6,"error"))</f>
        <v>0</v>
      </c>
      <c r="I144" s="15">
        <f>IF(I$140="","",_xlfn.XLOOKUP(I$140,'Network costing zones'!$D$4:$F$4,'Network costing zones'!$D6:$F6,"error"))</f>
        <v>0</v>
      </c>
      <c r="J144" s="15">
        <f>IF(J$140="","",_xlfn.XLOOKUP(J$140,'Network costing zones'!$D$4:$F$4,'Network costing zones'!$D6:$F6,"error"))</f>
        <v>0</v>
      </c>
      <c r="K144" s="201"/>
      <c r="L144" s="201"/>
      <c r="M144" s="201"/>
      <c r="N144" s="201"/>
      <c r="O144" s="201"/>
      <c r="P144" s="201"/>
      <c r="Q144" s="201"/>
      <c r="R144" s="201"/>
    </row>
    <row r="145" spans="2:18" outlineLevel="1" x14ac:dyDescent="0.25">
      <c r="B145" s="19" t="s">
        <v>164</v>
      </c>
      <c r="C145" s="32" t="s">
        <v>161</v>
      </c>
      <c r="D145" s="15">
        <f>IF(D$140="","",_xlfn.XLOOKUP(D$140,'Network costing zones'!$D$4:$F$4,'Network costing zones'!$D7:$F7,"error"))</f>
        <v>85</v>
      </c>
      <c r="E145" s="15">
        <f>IF(E$140="","",_xlfn.XLOOKUP(E$140,'Network costing zones'!$D$4:$F$4,'Network costing zones'!$D7:$F7,"error"))</f>
        <v>85</v>
      </c>
      <c r="F145" s="15">
        <f>IF(F$140="","",_xlfn.XLOOKUP(F$140,'Network costing zones'!$D$4:$F$4,'Network costing zones'!$D7:$F7,"error"))</f>
        <v>85</v>
      </c>
      <c r="G145" s="15">
        <f>IF(G$140="","",_xlfn.XLOOKUP(G$140,'Network costing zones'!$D$4:$F$4,'Network costing zones'!$D7:$F7,"error"))</f>
        <v>85</v>
      </c>
      <c r="H145" s="15">
        <f>IF(H$140="","",_xlfn.XLOOKUP(H$140,'Network costing zones'!$D$4:$F$4,'Network costing zones'!$D7:$F7,"error"))</f>
        <v>85</v>
      </c>
      <c r="I145" s="15">
        <f>IF(I$140="","",_xlfn.XLOOKUP(I$140,'Network costing zones'!$D$4:$F$4,'Network costing zones'!$D7:$F7,"error"))</f>
        <v>85</v>
      </c>
      <c r="J145" s="15">
        <f>IF(J$140="","",_xlfn.XLOOKUP(J$140,'Network costing zones'!$D$4:$F$4,'Network costing zones'!$D7:$F7,"error"))</f>
        <v>85</v>
      </c>
      <c r="K145" s="201"/>
      <c r="L145" s="201"/>
      <c r="M145" s="201"/>
      <c r="N145" s="201"/>
      <c r="O145" s="201"/>
      <c r="P145" s="201"/>
      <c r="Q145" s="201"/>
      <c r="R145" s="201"/>
    </row>
    <row r="146" spans="2:18" outlineLevel="1" x14ac:dyDescent="0.25">
      <c r="B146" s="19" t="s">
        <v>165</v>
      </c>
      <c r="C146" s="32" t="s">
        <v>161</v>
      </c>
      <c r="D146" s="15">
        <f>IF(D$140="","",_xlfn.XLOOKUP(D$140,'Network costing zones'!$D$4:$F$4,'Network costing zones'!$D8:$F8,"error"))</f>
        <v>380</v>
      </c>
      <c r="E146" s="15">
        <f>IF(E$140="","",_xlfn.XLOOKUP(E$140,'Network costing zones'!$D$4:$F$4,'Network costing zones'!$D8:$F8,"error"))</f>
        <v>380</v>
      </c>
      <c r="F146" s="15">
        <f>IF(F$140="","",_xlfn.XLOOKUP(F$140,'Network costing zones'!$D$4:$F$4,'Network costing zones'!$D8:$F8,"error"))</f>
        <v>380</v>
      </c>
      <c r="G146" s="15">
        <f>IF(G$140="","",_xlfn.XLOOKUP(G$140,'Network costing zones'!$D$4:$F$4,'Network costing zones'!$D8:$F8,"error"))</f>
        <v>380</v>
      </c>
      <c r="H146" s="15">
        <f>IF(H$140="","",_xlfn.XLOOKUP(H$140,'Network costing zones'!$D$4:$F$4,'Network costing zones'!$D8:$F8,"error"))</f>
        <v>380</v>
      </c>
      <c r="I146" s="15">
        <f>IF(I$140="","",_xlfn.XLOOKUP(I$140,'Network costing zones'!$D$4:$F$4,'Network costing zones'!$D8:$F8,"error"))</f>
        <v>380</v>
      </c>
      <c r="J146" s="15">
        <f>IF(J$140="","",_xlfn.XLOOKUP(J$140,'Network costing zones'!$D$4:$F$4,'Network costing zones'!$D8:$F8,"error"))</f>
        <v>380</v>
      </c>
      <c r="K146" s="201"/>
      <c r="L146" s="201"/>
      <c r="M146" s="201"/>
      <c r="N146" s="201"/>
      <c r="O146" s="201"/>
      <c r="P146" s="201"/>
      <c r="Q146" s="201"/>
      <c r="R146" s="201"/>
    </row>
    <row r="147" spans="2:18" outlineLevel="1" x14ac:dyDescent="0.25">
      <c r="B147" s="19" t="s">
        <v>166</v>
      </c>
      <c r="C147" s="32" t="s">
        <v>161</v>
      </c>
      <c r="D147" s="15">
        <f>IF(D$140="","",_xlfn.XLOOKUP(D$140,'Network costing zones'!$D$4:$F$4,'Network costing zones'!$D9:$F9,"error"))</f>
        <v>140</v>
      </c>
      <c r="E147" s="15">
        <f>IF(E$140="","",_xlfn.XLOOKUP(E$140,'Network costing zones'!$D$4:$F$4,'Network costing zones'!$D9:$F9,"error"))</f>
        <v>140</v>
      </c>
      <c r="F147" s="15">
        <f>IF(F$140="","",_xlfn.XLOOKUP(F$140,'Network costing zones'!$D$4:$F$4,'Network costing zones'!$D9:$F9,"error"))</f>
        <v>140</v>
      </c>
      <c r="G147" s="15">
        <f>IF(G$140="","",_xlfn.XLOOKUP(G$140,'Network costing zones'!$D$4:$F$4,'Network costing zones'!$D9:$F9,"error"))</f>
        <v>140</v>
      </c>
      <c r="H147" s="15">
        <f>IF(H$140="","",_xlfn.XLOOKUP(H$140,'Network costing zones'!$D$4:$F$4,'Network costing zones'!$D9:$F9,"error"))</f>
        <v>100</v>
      </c>
      <c r="I147" s="15">
        <f>IF(I$140="","",_xlfn.XLOOKUP(I$140,'Network costing zones'!$D$4:$F$4,'Network costing zones'!$D9:$F9,"error"))</f>
        <v>100</v>
      </c>
      <c r="J147" s="15">
        <f>IF(J$140="","",_xlfn.XLOOKUP(J$140,'Network costing zones'!$D$4:$F$4,'Network costing zones'!$D9:$F9,"error"))</f>
        <v>100</v>
      </c>
      <c r="K147" s="201"/>
      <c r="L147" s="201"/>
      <c r="M147" s="201"/>
      <c r="N147" s="201"/>
      <c r="O147" s="201"/>
      <c r="P147" s="201"/>
      <c r="Q147" s="201"/>
      <c r="R147" s="201"/>
    </row>
    <row r="148" spans="2:18" outlineLevel="1" x14ac:dyDescent="0.25"/>
    <row r="149" spans="2:18" ht="30" x14ac:dyDescent="0.25">
      <c r="B149" s="7" t="s">
        <v>186</v>
      </c>
      <c r="C149" s="31" t="s">
        <v>80</v>
      </c>
      <c r="D149" s="16" t="str">
        <f>"Variant"&amp;" "&amp;$A$17</f>
        <v>Variant 1a</v>
      </c>
      <c r="E149" s="16" t="str">
        <f>"Variant"&amp;" "&amp;$A$18</f>
        <v>Variant 1b</v>
      </c>
      <c r="F149" s="16" t="str">
        <f>"Variant"&amp;" "&amp;$A$19</f>
        <v>Variant 1c</v>
      </c>
      <c r="G149" s="16" t="str">
        <f>"Variant"&amp;" "&amp;$A$20</f>
        <v>Variant 1d</v>
      </c>
      <c r="H149" s="16" t="str">
        <f>"Variant"&amp;" "&amp;$A$21</f>
        <v>Variant 1e</v>
      </c>
      <c r="I149" s="16" t="str">
        <f>"Variant"&amp;" "&amp;$A$22</f>
        <v>Variant 1f</v>
      </c>
      <c r="J149" s="16" t="str">
        <f>"Variant"&amp;" "&amp;$A$23</f>
        <v>Variant 1g</v>
      </c>
      <c r="K149" s="196" t="s">
        <v>83</v>
      </c>
      <c r="L149" s="196"/>
      <c r="M149" s="196"/>
      <c r="N149" s="196"/>
      <c r="O149" s="196"/>
      <c r="P149" s="196"/>
      <c r="Q149" s="196"/>
      <c r="R149" s="196"/>
    </row>
    <row r="150" spans="2:18" x14ac:dyDescent="0.25">
      <c r="B150" s="19" t="s">
        <v>160</v>
      </c>
      <c r="C150" s="32" t="s">
        <v>168</v>
      </c>
      <c r="D150" s="118"/>
      <c r="E150" s="118">
        <v>3</v>
      </c>
      <c r="F150" s="118">
        <v>3</v>
      </c>
      <c r="G150" s="118"/>
      <c r="H150" s="118"/>
      <c r="I150" s="118"/>
      <c r="J150" s="118"/>
      <c r="K150" s="201" t="s">
        <v>187</v>
      </c>
      <c r="L150" s="201"/>
      <c r="M150" s="201"/>
      <c r="N150" s="201"/>
      <c r="O150" s="201"/>
      <c r="P150" s="201"/>
      <c r="Q150" s="201"/>
      <c r="R150" s="201"/>
    </row>
    <row r="151" spans="2:18" x14ac:dyDescent="0.25">
      <c r="B151" s="19" t="s">
        <v>163</v>
      </c>
      <c r="C151" s="32" t="s">
        <v>168</v>
      </c>
      <c r="D151" s="118"/>
      <c r="E151" s="118">
        <v>0.5</v>
      </c>
      <c r="F151" s="118">
        <v>0.5</v>
      </c>
      <c r="G151" s="118"/>
      <c r="H151" s="118"/>
      <c r="I151" s="118"/>
      <c r="J151" s="118"/>
      <c r="K151" s="201"/>
      <c r="L151" s="201"/>
      <c r="M151" s="201"/>
      <c r="N151" s="201"/>
      <c r="O151" s="201"/>
      <c r="P151" s="201"/>
      <c r="Q151" s="201"/>
      <c r="R151" s="201"/>
    </row>
    <row r="152" spans="2:18" x14ac:dyDescent="0.25">
      <c r="B152" s="19" t="s">
        <v>164</v>
      </c>
      <c r="C152" s="32" t="s">
        <v>168</v>
      </c>
      <c r="D152" s="118"/>
      <c r="E152" s="118">
        <v>0.5</v>
      </c>
      <c r="F152" s="118">
        <v>0.5</v>
      </c>
      <c r="G152" s="118"/>
      <c r="H152" s="118"/>
      <c r="I152" s="118"/>
      <c r="J152" s="118"/>
      <c r="K152" s="201"/>
      <c r="L152" s="201"/>
      <c r="M152" s="201"/>
      <c r="N152" s="201"/>
      <c r="O152" s="201"/>
      <c r="P152" s="201"/>
      <c r="Q152" s="201"/>
      <c r="R152" s="201"/>
    </row>
    <row r="153" spans="2:18" x14ac:dyDescent="0.25">
      <c r="B153" s="19" t="s">
        <v>165</v>
      </c>
      <c r="C153" s="32" t="s">
        <v>168</v>
      </c>
      <c r="D153" s="118"/>
      <c r="E153" s="118">
        <v>0.5</v>
      </c>
      <c r="F153" s="118">
        <v>0.5</v>
      </c>
      <c r="G153" s="118"/>
      <c r="H153" s="118"/>
      <c r="I153" s="118"/>
      <c r="J153" s="118"/>
      <c r="K153" s="201"/>
      <c r="L153" s="201"/>
      <c r="M153" s="201"/>
      <c r="N153" s="201"/>
      <c r="O153" s="201"/>
      <c r="P153" s="201"/>
      <c r="Q153" s="201"/>
      <c r="R153" s="201"/>
    </row>
    <row r="154" spans="2:18" x14ac:dyDescent="0.25">
      <c r="B154" s="19" t="s">
        <v>166</v>
      </c>
      <c r="C154" s="32" t="s">
        <v>168</v>
      </c>
      <c r="D154" s="118"/>
      <c r="E154" s="118">
        <v>0.5</v>
      </c>
      <c r="F154" s="118">
        <v>0.5</v>
      </c>
      <c r="G154" s="118"/>
      <c r="H154" s="118"/>
      <c r="I154" s="118"/>
      <c r="J154" s="118"/>
      <c r="K154" s="201"/>
      <c r="L154" s="201"/>
      <c r="M154" s="201"/>
      <c r="N154" s="201"/>
      <c r="O154" s="201"/>
      <c r="P154" s="201"/>
      <c r="Q154" s="201"/>
      <c r="R154" s="201"/>
    </row>
    <row r="155" spans="2:18" x14ac:dyDescent="0.25">
      <c r="D155" s="14"/>
    </row>
    <row r="156" spans="2:18" x14ac:dyDescent="0.25">
      <c r="B156" s="7" t="s">
        <v>188</v>
      </c>
      <c r="C156" s="101" t="s">
        <v>80</v>
      </c>
      <c r="D156" s="16" t="str">
        <f>"Variant"&amp;" "&amp;$A$17</f>
        <v>Variant 1a</v>
      </c>
      <c r="E156" s="16" t="str">
        <f>"Variant"&amp;" "&amp;$A$18</f>
        <v>Variant 1b</v>
      </c>
      <c r="F156" s="16" t="str">
        <f>"Variant"&amp;" "&amp;$A$19</f>
        <v>Variant 1c</v>
      </c>
      <c r="G156" s="16" t="str">
        <f>"Variant"&amp;" "&amp;$A$20</f>
        <v>Variant 1d</v>
      </c>
      <c r="H156" s="16" t="str">
        <f>"Variant"&amp;" "&amp;$A$21</f>
        <v>Variant 1e</v>
      </c>
      <c r="I156" s="16" t="str">
        <f>"Variant"&amp;" "&amp;$A$22</f>
        <v>Variant 1f</v>
      </c>
      <c r="J156" s="16" t="str">
        <f>"Variant"&amp;" "&amp;$A$23</f>
        <v>Variant 1g</v>
      </c>
      <c r="K156" s="196" t="s">
        <v>83</v>
      </c>
      <c r="L156" s="196"/>
      <c r="M156" s="196"/>
      <c r="N156" s="196"/>
      <c r="O156" s="196"/>
      <c r="P156" s="196"/>
      <c r="Q156" s="196"/>
      <c r="R156" s="196"/>
    </row>
    <row r="157" spans="2:18" x14ac:dyDescent="0.25">
      <c r="B157" s="19" t="s">
        <v>160</v>
      </c>
      <c r="C157" s="121" t="s">
        <v>85</v>
      </c>
      <c r="D157" s="17">
        <f t="shared" ref="D157:J161" si="9">D101*D150</f>
        <v>0</v>
      </c>
      <c r="E157" s="17">
        <f t="shared" si="9"/>
        <v>720</v>
      </c>
      <c r="F157" s="17">
        <f t="shared" si="9"/>
        <v>720</v>
      </c>
      <c r="G157" s="17">
        <f t="shared" si="9"/>
        <v>0</v>
      </c>
      <c r="H157" s="17">
        <f t="shared" si="9"/>
        <v>0</v>
      </c>
      <c r="I157" s="17">
        <f t="shared" si="9"/>
        <v>0</v>
      </c>
      <c r="J157" s="17">
        <f t="shared" si="9"/>
        <v>0</v>
      </c>
      <c r="K157" s="201" t="s">
        <v>189</v>
      </c>
      <c r="L157" s="201"/>
      <c r="M157" s="201"/>
      <c r="N157" s="201"/>
      <c r="O157" s="201"/>
      <c r="P157" s="201"/>
      <c r="Q157" s="201"/>
      <c r="R157" s="201"/>
    </row>
    <row r="158" spans="2:18" x14ac:dyDescent="0.25">
      <c r="B158" s="19" t="s">
        <v>163</v>
      </c>
      <c r="C158" s="121" t="s">
        <v>85</v>
      </c>
      <c r="D158" s="17">
        <f t="shared" si="9"/>
        <v>0</v>
      </c>
      <c r="E158" s="17">
        <f t="shared" si="9"/>
        <v>300</v>
      </c>
      <c r="F158" s="17">
        <f t="shared" si="9"/>
        <v>300</v>
      </c>
      <c r="G158" s="17">
        <f t="shared" si="9"/>
        <v>0</v>
      </c>
      <c r="H158" s="17">
        <f t="shared" si="9"/>
        <v>0</v>
      </c>
      <c r="I158" s="17">
        <f t="shared" si="9"/>
        <v>0</v>
      </c>
      <c r="J158" s="17">
        <f t="shared" si="9"/>
        <v>0</v>
      </c>
      <c r="K158" s="201"/>
      <c r="L158" s="201"/>
      <c r="M158" s="201"/>
      <c r="N158" s="201"/>
      <c r="O158" s="201"/>
      <c r="P158" s="201"/>
      <c r="Q158" s="201"/>
      <c r="R158" s="201"/>
    </row>
    <row r="159" spans="2:18" x14ac:dyDescent="0.25">
      <c r="B159" s="19" t="s">
        <v>164</v>
      </c>
      <c r="C159" s="121" t="s">
        <v>85</v>
      </c>
      <c r="D159" s="17">
        <f t="shared" si="9"/>
        <v>0</v>
      </c>
      <c r="E159" s="17">
        <f t="shared" si="9"/>
        <v>42.5</v>
      </c>
      <c r="F159" s="17">
        <f t="shared" si="9"/>
        <v>42.5</v>
      </c>
      <c r="G159" s="17">
        <f t="shared" si="9"/>
        <v>0</v>
      </c>
      <c r="H159" s="17">
        <f t="shared" si="9"/>
        <v>0</v>
      </c>
      <c r="I159" s="17">
        <f t="shared" si="9"/>
        <v>0</v>
      </c>
      <c r="J159" s="17">
        <f t="shared" si="9"/>
        <v>0</v>
      </c>
      <c r="K159" s="201"/>
      <c r="L159" s="201"/>
      <c r="M159" s="201"/>
      <c r="N159" s="201"/>
      <c r="O159" s="201"/>
      <c r="P159" s="201"/>
      <c r="Q159" s="201"/>
      <c r="R159" s="201"/>
    </row>
    <row r="160" spans="2:18" x14ac:dyDescent="0.25">
      <c r="B160" s="19" t="s">
        <v>165</v>
      </c>
      <c r="C160" s="121" t="s">
        <v>85</v>
      </c>
      <c r="D160" s="17">
        <f t="shared" si="9"/>
        <v>0</v>
      </c>
      <c r="E160" s="17">
        <f t="shared" si="9"/>
        <v>190</v>
      </c>
      <c r="F160" s="17">
        <f t="shared" si="9"/>
        <v>190</v>
      </c>
      <c r="G160" s="17">
        <f t="shared" si="9"/>
        <v>0</v>
      </c>
      <c r="H160" s="17">
        <f t="shared" si="9"/>
        <v>0</v>
      </c>
      <c r="I160" s="17">
        <f t="shared" si="9"/>
        <v>0</v>
      </c>
      <c r="J160" s="17">
        <f t="shared" si="9"/>
        <v>0</v>
      </c>
      <c r="K160" s="201"/>
      <c r="L160" s="201"/>
      <c r="M160" s="201"/>
      <c r="N160" s="201"/>
      <c r="O160" s="201"/>
      <c r="P160" s="201"/>
      <c r="Q160" s="201"/>
      <c r="R160" s="201"/>
    </row>
    <row r="161" spans="1:18" x14ac:dyDescent="0.25">
      <c r="B161" s="19" t="s">
        <v>166</v>
      </c>
      <c r="C161" s="121" t="s">
        <v>85</v>
      </c>
      <c r="D161" s="17">
        <f t="shared" si="9"/>
        <v>0</v>
      </c>
      <c r="E161" s="17">
        <f t="shared" si="9"/>
        <v>70</v>
      </c>
      <c r="F161" s="17">
        <f t="shared" si="9"/>
        <v>70</v>
      </c>
      <c r="G161" s="17">
        <f t="shared" si="9"/>
        <v>0</v>
      </c>
      <c r="H161" s="17">
        <f t="shared" si="9"/>
        <v>0</v>
      </c>
      <c r="I161" s="17">
        <f t="shared" si="9"/>
        <v>0</v>
      </c>
      <c r="J161" s="17">
        <f t="shared" si="9"/>
        <v>0</v>
      </c>
      <c r="K161" s="201"/>
      <c r="L161" s="201"/>
      <c r="M161" s="201"/>
      <c r="N161" s="201"/>
      <c r="O161" s="201"/>
      <c r="P161" s="201"/>
      <c r="Q161" s="201"/>
      <c r="R161" s="201"/>
    </row>
    <row r="162" spans="1:18" ht="15.75" thickBot="1" x14ac:dyDescent="0.3">
      <c r="B162" s="50" t="s">
        <v>190</v>
      </c>
      <c r="C162" s="49" t="s">
        <v>85</v>
      </c>
      <c r="D162" s="51">
        <f>SUM(D157:D161)</f>
        <v>0</v>
      </c>
      <c r="E162" s="51">
        <f t="shared" ref="E162:J162" si="10">SUM(E157:E161)</f>
        <v>1322.5</v>
      </c>
      <c r="F162" s="51">
        <f t="shared" si="10"/>
        <v>1322.5</v>
      </c>
      <c r="G162" s="51">
        <f t="shared" si="10"/>
        <v>0</v>
      </c>
      <c r="H162" s="51">
        <f t="shared" si="10"/>
        <v>0</v>
      </c>
      <c r="I162" s="51">
        <f t="shared" si="10"/>
        <v>0</v>
      </c>
      <c r="J162" s="51">
        <f t="shared" si="10"/>
        <v>0</v>
      </c>
    </row>
    <row r="163" spans="1:18" ht="15.75" thickTop="1" x14ac:dyDescent="0.25">
      <c r="D163" s="14"/>
    </row>
    <row r="164" spans="1:18" s="151" customFormat="1" ht="18" thickBot="1" x14ac:dyDescent="0.35">
      <c r="A164" s="151" t="s">
        <v>191</v>
      </c>
    </row>
    <row r="165" spans="1:18" ht="15.75" outlineLevel="1" thickTop="1" x14ac:dyDescent="0.25">
      <c r="B165" s="4"/>
      <c r="F165" s="161"/>
      <c r="G165" s="161"/>
      <c r="H165" s="161"/>
      <c r="I165" s="161"/>
      <c r="J165" s="161"/>
      <c r="K165" s="161"/>
    </row>
    <row r="166" spans="1:18" s="8" customFormat="1" ht="15.75" outlineLevel="1" thickBot="1" x14ac:dyDescent="0.3">
      <c r="A166" s="8" t="s">
        <v>105</v>
      </c>
    </row>
    <row r="167" spans="1:18" outlineLevel="1" x14ac:dyDescent="0.25">
      <c r="B167" s="4"/>
      <c r="F167" s="161"/>
      <c r="G167" s="161"/>
      <c r="H167" s="161"/>
      <c r="I167" s="161"/>
      <c r="J167" s="161"/>
      <c r="K167" s="161"/>
    </row>
    <row r="168" spans="1:18" outlineLevel="1" x14ac:dyDescent="0.25">
      <c r="B168" s="31" t="s">
        <v>119</v>
      </c>
      <c r="C168" s="7" t="s">
        <v>80</v>
      </c>
      <c r="D168" s="16" t="str">
        <f>"Variant"&amp;" "&amp;$A$17</f>
        <v>Variant 1a</v>
      </c>
      <c r="E168" s="16" t="str">
        <f>"Variant"&amp;" "&amp;$A$18</f>
        <v>Variant 1b</v>
      </c>
      <c r="F168" s="16" t="str">
        <f>"Variant"&amp;" "&amp;$A$19</f>
        <v>Variant 1c</v>
      </c>
      <c r="G168" s="16" t="str">
        <f>"Variant"&amp;" "&amp;$A$20</f>
        <v>Variant 1d</v>
      </c>
      <c r="H168" s="16" t="str">
        <f>"Variant"&amp;" "&amp;$A$21</f>
        <v>Variant 1e</v>
      </c>
      <c r="I168" s="16" t="str">
        <f>"Variant"&amp;" "&amp;$A$22</f>
        <v>Variant 1f</v>
      </c>
      <c r="J168" s="16" t="str">
        <f>"Variant"&amp;" "&amp;$A$23</f>
        <v>Variant 1g</v>
      </c>
      <c r="K168" s="196" t="s">
        <v>3</v>
      </c>
      <c r="L168" s="196"/>
      <c r="M168" s="196"/>
      <c r="N168" s="196"/>
      <c r="O168" s="196" t="s">
        <v>83</v>
      </c>
      <c r="P168" s="196"/>
      <c r="Q168" s="196"/>
      <c r="R168" s="196"/>
    </row>
    <row r="169" spans="1:18" ht="25.15" customHeight="1" outlineLevel="1" x14ac:dyDescent="0.25">
      <c r="B169" s="32" t="s">
        <v>105</v>
      </c>
      <c r="C169" s="6" t="s">
        <v>85</v>
      </c>
      <c r="D169" s="68">
        <v>0</v>
      </c>
      <c r="E169" s="68">
        <v>0</v>
      </c>
      <c r="F169" s="68">
        <v>0</v>
      </c>
      <c r="G169" s="68">
        <v>0</v>
      </c>
      <c r="H169" s="68">
        <v>0</v>
      </c>
      <c r="I169" s="68">
        <v>0</v>
      </c>
      <c r="J169" s="15">
        <f>'1g. Local hist cost recovery'!$D$24</f>
        <v>20000</v>
      </c>
      <c r="K169" s="195" t="s">
        <v>106</v>
      </c>
      <c r="L169" s="195"/>
      <c r="M169" s="195"/>
      <c r="N169" s="195"/>
      <c r="O169" s="195" t="s">
        <v>192</v>
      </c>
      <c r="P169" s="195"/>
      <c r="Q169" s="195"/>
      <c r="R169" s="195"/>
    </row>
    <row r="170" spans="1:18" outlineLevel="1" x14ac:dyDescent="0.25">
      <c r="B170" s="4"/>
      <c r="C170" s="46"/>
      <c r="D170" s="41"/>
      <c r="E170" s="41"/>
      <c r="F170" s="41"/>
      <c r="G170" s="41"/>
      <c r="H170" s="41"/>
      <c r="I170" s="41"/>
      <c r="J170" s="41"/>
    </row>
    <row r="171" spans="1:18" s="8" customFormat="1" ht="15.75" outlineLevel="1" thickBot="1" x14ac:dyDescent="0.3">
      <c r="A171" s="8" t="s">
        <v>193</v>
      </c>
    </row>
    <row r="172" spans="1:18" outlineLevel="1" x14ac:dyDescent="0.25">
      <c r="A172" s="53" t="s">
        <v>194</v>
      </c>
    </row>
    <row r="173" spans="1:18" outlineLevel="1" x14ac:dyDescent="0.25">
      <c r="B173" s="4"/>
      <c r="C173" s="46"/>
      <c r="D173" s="12"/>
      <c r="E173" s="12"/>
      <c r="F173" s="12"/>
      <c r="G173" s="12"/>
      <c r="H173" s="12"/>
      <c r="I173" s="12"/>
      <c r="J173" s="12"/>
    </row>
    <row r="174" spans="1:18" outlineLevel="1" x14ac:dyDescent="0.25">
      <c r="B174" s="31" t="s">
        <v>119</v>
      </c>
      <c r="C174" s="7" t="s">
        <v>80</v>
      </c>
      <c r="D174" s="16" t="str">
        <f>"Variant"&amp;" "&amp;$A$17</f>
        <v>Variant 1a</v>
      </c>
      <c r="E174" s="16" t="str">
        <f>"Variant"&amp;" "&amp;$A$18</f>
        <v>Variant 1b</v>
      </c>
      <c r="F174" s="16" t="str">
        <f>"Variant"&amp;" "&amp;$A$19</f>
        <v>Variant 1c</v>
      </c>
      <c r="G174" s="16" t="str">
        <f>"Variant"&amp;" "&amp;$A$20</f>
        <v>Variant 1d</v>
      </c>
      <c r="H174" s="16" t="str">
        <f>"Variant"&amp;" "&amp;$A$21</f>
        <v>Variant 1e</v>
      </c>
      <c r="I174" s="16" t="str">
        <f>"Variant"&amp;" "&amp;$A$22</f>
        <v>Variant 1f</v>
      </c>
      <c r="J174" s="16" t="str">
        <f>"Variant"&amp;" "&amp;$A$23</f>
        <v>Variant 1g</v>
      </c>
      <c r="K174" s="196" t="s">
        <v>3</v>
      </c>
      <c r="L174" s="196"/>
      <c r="M174" s="196"/>
      <c r="N174" s="196"/>
      <c r="O174" s="196" t="s">
        <v>83</v>
      </c>
      <c r="P174" s="196"/>
      <c r="Q174" s="196"/>
      <c r="R174" s="196"/>
    </row>
    <row r="175" spans="1:18" outlineLevel="1" x14ac:dyDescent="0.25">
      <c r="B175" s="32" t="s">
        <v>120</v>
      </c>
      <c r="C175" s="6" t="s">
        <v>85</v>
      </c>
      <c r="D175" s="68">
        <v>0</v>
      </c>
      <c r="E175" s="68">
        <v>0</v>
      </c>
      <c r="F175" s="68">
        <v>0</v>
      </c>
      <c r="G175" s="68">
        <v>0</v>
      </c>
      <c r="H175" s="68">
        <v>0</v>
      </c>
      <c r="I175" s="15">
        <f>'1f. Pioneer scheme'!$G$64</f>
        <v>7500</v>
      </c>
      <c r="J175" s="68">
        <v>0</v>
      </c>
      <c r="K175" s="195" t="s">
        <v>195</v>
      </c>
      <c r="L175" s="195"/>
      <c r="M175" s="195"/>
      <c r="N175" s="195"/>
      <c r="O175" s="195" t="s">
        <v>196</v>
      </c>
      <c r="P175" s="195"/>
      <c r="Q175" s="195"/>
      <c r="R175" s="195"/>
    </row>
    <row r="176" spans="1:18" outlineLevel="1" x14ac:dyDescent="0.25">
      <c r="B176" s="4"/>
      <c r="C176" s="46"/>
      <c r="D176" s="41"/>
      <c r="E176" s="41"/>
      <c r="F176" s="41"/>
      <c r="G176" s="41"/>
      <c r="H176" s="41"/>
      <c r="I176" s="41"/>
      <c r="J176" s="41"/>
    </row>
    <row r="177" spans="1:18" s="8" customFormat="1" ht="15.75" outlineLevel="1" thickBot="1" x14ac:dyDescent="0.3">
      <c r="A177" s="8" t="s">
        <v>123</v>
      </c>
    </row>
    <row r="178" spans="1:18" outlineLevel="1" x14ac:dyDescent="0.25">
      <c r="A178" s="53" t="s">
        <v>197</v>
      </c>
    </row>
    <row r="179" spans="1:18" outlineLevel="1" x14ac:dyDescent="0.25">
      <c r="B179" s="4"/>
      <c r="C179" s="46"/>
      <c r="D179" s="12"/>
      <c r="E179" s="12"/>
      <c r="F179" s="12"/>
      <c r="G179" s="12"/>
      <c r="H179" s="12"/>
      <c r="I179" s="12"/>
      <c r="J179" s="12"/>
    </row>
    <row r="180" spans="1:18" outlineLevel="1" x14ac:dyDescent="0.25">
      <c r="B180" s="31" t="s">
        <v>198</v>
      </c>
      <c r="C180" s="7" t="s">
        <v>80</v>
      </c>
      <c r="D180" s="16" t="str">
        <f>"Variant"&amp;" "&amp;$A$17</f>
        <v>Variant 1a</v>
      </c>
      <c r="E180" s="16" t="str">
        <f>"Variant"&amp;" "&amp;$A$18</f>
        <v>Variant 1b</v>
      </c>
      <c r="F180" s="16" t="str">
        <f>"Variant"&amp;" "&amp;$A$19</f>
        <v>Variant 1c</v>
      </c>
      <c r="G180" s="16" t="str">
        <f>"Variant"&amp;" "&amp;$A$20</f>
        <v>Variant 1d</v>
      </c>
      <c r="H180" s="16" t="str">
        <f>"Variant"&amp;" "&amp;$A$21</f>
        <v>Variant 1e</v>
      </c>
      <c r="I180" s="16" t="str">
        <f>"Variant"&amp;" "&amp;$A$22</f>
        <v>Variant 1f</v>
      </c>
      <c r="J180" s="16" t="str">
        <f>"Variant"&amp;" "&amp;$A$23</f>
        <v>Variant 1g</v>
      </c>
      <c r="K180" s="196" t="s">
        <v>3</v>
      </c>
      <c r="L180" s="196"/>
      <c r="M180" s="196"/>
      <c r="N180" s="196"/>
      <c r="O180" s="196" t="s">
        <v>83</v>
      </c>
      <c r="P180" s="196"/>
      <c r="Q180" s="196"/>
      <c r="R180" s="196"/>
    </row>
    <row r="181" spans="1:18" outlineLevel="1" x14ac:dyDescent="0.25">
      <c r="B181" s="40" t="s">
        <v>199</v>
      </c>
      <c r="C181" s="6" t="s">
        <v>85</v>
      </c>
      <c r="D181" s="75">
        <v>140</v>
      </c>
      <c r="E181" s="75">
        <v>140</v>
      </c>
      <c r="F181" s="75">
        <v>140</v>
      </c>
      <c r="G181" s="75">
        <v>140</v>
      </c>
      <c r="H181" s="75">
        <v>140</v>
      </c>
      <c r="I181" s="75">
        <v>140</v>
      </c>
      <c r="J181" s="75">
        <v>140</v>
      </c>
      <c r="K181" s="195" t="s">
        <v>200</v>
      </c>
      <c r="L181" s="195"/>
      <c r="M181" s="195"/>
      <c r="N181" s="195"/>
      <c r="O181" s="195" t="s">
        <v>201</v>
      </c>
      <c r="P181" s="195"/>
      <c r="Q181" s="195"/>
      <c r="R181" s="195"/>
    </row>
    <row r="182" spans="1:18" outlineLevel="1" x14ac:dyDescent="0.25">
      <c r="B182" s="40" t="s">
        <v>202</v>
      </c>
      <c r="C182" s="6" t="s">
        <v>85</v>
      </c>
      <c r="D182" s="75">
        <v>80</v>
      </c>
      <c r="E182" s="75">
        <v>80</v>
      </c>
      <c r="F182" s="75">
        <v>80</v>
      </c>
      <c r="G182" s="75">
        <v>80</v>
      </c>
      <c r="H182" s="75">
        <v>80</v>
      </c>
      <c r="I182" s="75">
        <v>80</v>
      </c>
      <c r="J182" s="75">
        <v>80</v>
      </c>
      <c r="K182" s="195" t="s">
        <v>203</v>
      </c>
      <c r="L182" s="195"/>
      <c r="M182" s="195"/>
      <c r="N182" s="195"/>
      <c r="O182" s="195" t="s">
        <v>201</v>
      </c>
      <c r="P182" s="195"/>
      <c r="Q182" s="195"/>
      <c r="R182" s="195"/>
    </row>
    <row r="183" spans="1:18" ht="15.75" outlineLevel="1" thickBot="1" x14ac:dyDescent="0.3">
      <c r="B183" s="43" t="s">
        <v>204</v>
      </c>
      <c r="C183" s="42" t="s">
        <v>85</v>
      </c>
      <c r="D183" s="44">
        <f t="shared" ref="D183:J183" si="11">SUM(D181:D182)</f>
        <v>220</v>
      </c>
      <c r="E183" s="44">
        <f t="shared" si="11"/>
        <v>220</v>
      </c>
      <c r="F183" s="44">
        <f t="shared" si="11"/>
        <v>220</v>
      </c>
      <c r="G183" s="44">
        <f t="shared" si="11"/>
        <v>220</v>
      </c>
      <c r="H183" s="44">
        <f t="shared" si="11"/>
        <v>220</v>
      </c>
      <c r="I183" s="44">
        <f t="shared" si="11"/>
        <v>220</v>
      </c>
      <c r="J183" s="44">
        <f t="shared" si="11"/>
        <v>220</v>
      </c>
    </row>
    <row r="184" spans="1:18" ht="15.75" outlineLevel="1" thickTop="1" x14ac:dyDescent="0.25"/>
  </sheetData>
  <mergeCells count="103">
    <mergeCell ref="B69:C69"/>
    <mergeCell ref="B70:C70"/>
    <mergeCell ref="K69:R69"/>
    <mergeCell ref="K70:R70"/>
    <mergeCell ref="K78:R78"/>
    <mergeCell ref="K182:N182"/>
    <mergeCell ref="O168:R168"/>
    <mergeCell ref="O174:R174"/>
    <mergeCell ref="O180:R180"/>
    <mergeCell ref="O169:R169"/>
    <mergeCell ref="O175:R175"/>
    <mergeCell ref="O181:R181"/>
    <mergeCell ref="O182:R182"/>
    <mergeCell ref="K81:R81"/>
    <mergeCell ref="K88:R88"/>
    <mergeCell ref="K97:R97"/>
    <mergeCell ref="K100:R100"/>
    <mergeCell ref="K85:R85"/>
    <mergeCell ref="K79:R79"/>
    <mergeCell ref="K180:N180"/>
    <mergeCell ref="K175:N175"/>
    <mergeCell ref="K131:R131"/>
    <mergeCell ref="K139:R139"/>
    <mergeCell ref="K142:R142"/>
    <mergeCell ref="B8:I8"/>
    <mergeCell ref="K8:R8"/>
    <mergeCell ref="F50:I50"/>
    <mergeCell ref="F51:I51"/>
    <mergeCell ref="J50:M50"/>
    <mergeCell ref="J51:M51"/>
    <mergeCell ref="F49:I49"/>
    <mergeCell ref="J36:M36"/>
    <mergeCell ref="J37:M37"/>
    <mergeCell ref="J41:M41"/>
    <mergeCell ref="J46:M46"/>
    <mergeCell ref="J38:M38"/>
    <mergeCell ref="J39:M39"/>
    <mergeCell ref="J42:M42"/>
    <mergeCell ref="F42:I42"/>
    <mergeCell ref="F43:I43"/>
    <mergeCell ref="F44:I44"/>
    <mergeCell ref="J43:M43"/>
    <mergeCell ref="J44:M44"/>
    <mergeCell ref="F54:I54"/>
    <mergeCell ref="F46:I46"/>
    <mergeCell ref="J54:M54"/>
    <mergeCell ref="K82:R82"/>
    <mergeCell ref="K83:R83"/>
    <mergeCell ref="K84:R84"/>
    <mergeCell ref="J53:M53"/>
    <mergeCell ref="F55:I55"/>
    <mergeCell ref="K149:R149"/>
    <mergeCell ref="K107:R107"/>
    <mergeCell ref="K114:R114"/>
    <mergeCell ref="K124:R124"/>
    <mergeCell ref="J47:M47"/>
    <mergeCell ref="J48:M48"/>
    <mergeCell ref="J49:M49"/>
    <mergeCell ref="K174:N174"/>
    <mergeCell ref="K65:N65"/>
    <mergeCell ref="K66:N66"/>
    <mergeCell ref="K67:N67"/>
    <mergeCell ref="O65:R65"/>
    <mergeCell ref="O66:R66"/>
    <mergeCell ref="O67:R67"/>
    <mergeCell ref="J55:M55"/>
    <mergeCell ref="J59:M59"/>
    <mergeCell ref="J60:M60"/>
    <mergeCell ref="J61:M61"/>
    <mergeCell ref="K143:R147"/>
    <mergeCell ref="K140:R140"/>
    <mergeCell ref="K132:R132"/>
    <mergeCell ref="K133:R133"/>
    <mergeCell ref="K134:R134"/>
    <mergeCell ref="K168:N168"/>
    <mergeCell ref="K169:N169"/>
    <mergeCell ref="K156:R156"/>
    <mergeCell ref="K157:R161"/>
    <mergeCell ref="K150:R154"/>
    <mergeCell ref="K181:N181"/>
    <mergeCell ref="F37:I37"/>
    <mergeCell ref="F38:I38"/>
    <mergeCell ref="F39:I39"/>
    <mergeCell ref="F41:I41"/>
    <mergeCell ref="B34:C34"/>
    <mergeCell ref="F36:I36"/>
    <mergeCell ref="B29:M29"/>
    <mergeCell ref="B12:R12"/>
    <mergeCell ref="K125:R125"/>
    <mergeCell ref="K115:R119"/>
    <mergeCell ref="K108:R112"/>
    <mergeCell ref="K101:R105"/>
    <mergeCell ref="K98:R98"/>
    <mergeCell ref="K91:R91"/>
    <mergeCell ref="K92:R92"/>
    <mergeCell ref="K89:R89"/>
    <mergeCell ref="K90:R90"/>
    <mergeCell ref="F59:I59"/>
    <mergeCell ref="F60:I60"/>
    <mergeCell ref="F61:I61"/>
    <mergeCell ref="F53:I53"/>
    <mergeCell ref="F47:I47"/>
    <mergeCell ref="F48:I48"/>
  </mergeCells>
  <conditionalFormatting sqref="D89:D92">
    <cfRule type="expression" dxfId="33" priority="14">
      <formula>$D$79="No"</formula>
    </cfRule>
  </conditionalFormatting>
  <conditionalFormatting sqref="E89:E92">
    <cfRule type="expression" dxfId="32" priority="13">
      <formula>$E$79="No"</formula>
    </cfRule>
  </conditionalFormatting>
  <conditionalFormatting sqref="F89:F92">
    <cfRule type="expression" dxfId="31" priority="12">
      <formula>$F$79="No"</formula>
    </cfRule>
  </conditionalFormatting>
  <conditionalFormatting sqref="G89:G92">
    <cfRule type="expression" dxfId="30" priority="11">
      <formula>$G$79="No"</formula>
    </cfRule>
  </conditionalFormatting>
  <conditionalFormatting sqref="H89:H92">
    <cfRule type="expression" dxfId="29" priority="10">
      <formula>$H$79="No"</formula>
    </cfRule>
  </conditionalFormatting>
  <conditionalFormatting sqref="I89:I92">
    <cfRule type="expression" dxfId="28" priority="9">
      <formula>$I$79="No"</formula>
    </cfRule>
  </conditionalFormatting>
  <conditionalFormatting sqref="J89:J92">
    <cfRule type="expression" dxfId="27" priority="8">
      <formula>$J$79="No"</formula>
    </cfRule>
  </conditionalFormatting>
  <dataValidations count="1">
    <dataValidation type="list" allowBlank="1" showInputMessage="1" showErrorMessage="1" sqref="D25" xr:uid="{1DECDF53-DE27-424C-A498-AD3EC969D788}">
      <formula1>$D$65:$J$65</formula1>
    </dataValidation>
  </dataValidations>
  <pageMargins left="0.7" right="0.7" top="0.75" bottom="0.75" header="0.3" footer="0.3"/>
  <pageSetup paperSize="9" orientation="portrait" r:id="rId1"/>
  <headerFooter>
    <oddHeader>&amp;L&amp;"Calibri"&amp;8&amp;K000000 Sensitivity: General&amp;1#_x000D_</oddHeader>
    <oddFooter>&amp;C_x000D_&amp;1#&amp;"Calibri"&amp;10&amp;K000000 IN-CONFIDENCE: ORGANISATION</oddFooter>
  </headerFooter>
  <extLst>
    <ext xmlns:x14="http://schemas.microsoft.com/office/spreadsheetml/2009/9/main" uri="{CCE6A557-97BC-4b89-ADB6-D9C93CAAB3DF}">
      <x14:dataValidations xmlns:xm="http://schemas.microsoft.com/office/excel/2006/main" count="2">
        <x14:dataValidation type="list" allowBlank="1" showInputMessage="1" showErrorMessage="1" xr:uid="{C0E42010-0F0F-41F0-B441-F9CCDDB19305}">
          <x14:formula1>
            <xm:f>'Network costing zones'!$D$4:$F$4</xm:f>
          </x14:formula1>
          <xm:sqref>D98:J98</xm:sqref>
        </x14:dataValidation>
        <x14:dataValidation type="list" allowBlank="1" showInputMessage="1" showErrorMessage="1" xr:uid="{7144B12F-F5D8-4660-A36A-0BE3D29FBB7A}">
          <x14:formula1>
            <xm:f>List!$A$2:$A$3</xm:f>
          </x14:formula1>
          <xm:sqref>D79:J79 D70:J70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012A50-4E13-4C44-BC95-F47650E09800}">
  <sheetPr>
    <tabColor theme="4" tint="0.59999389629810485"/>
  </sheetPr>
  <dimension ref="A1:X198"/>
  <sheetViews>
    <sheetView tabSelected="1" zoomScaleNormal="100" workbookViewId="0">
      <pane ySplit="1" topLeftCell="A2" activePane="bottomLeft" state="frozen"/>
      <selection activeCell="C1" sqref="C1"/>
      <selection pane="bottomLeft" activeCell="E5" sqref="E5"/>
    </sheetView>
    <sheetView workbookViewId="1">
      <pane ySplit="1" topLeftCell="A2" activePane="bottomLeft" state="frozen"/>
      <selection pane="bottomLeft" sqref="A1:XFD1"/>
    </sheetView>
  </sheetViews>
  <sheetFormatPr defaultColWidth="9.28515625" defaultRowHeight="15" outlineLevelRow="2" x14ac:dyDescent="0.25"/>
  <cols>
    <col min="1" max="1" width="9.28515625" style="2" customWidth="1"/>
    <col min="2" max="2" width="42.28515625" style="2" customWidth="1"/>
    <col min="3" max="3" width="10.7109375" style="2" customWidth="1"/>
    <col min="4" max="24" width="18.7109375" style="2" customWidth="1"/>
    <col min="25" max="26" width="12.7109375" style="2" customWidth="1"/>
    <col min="27" max="16384" width="9.28515625" style="2"/>
  </cols>
  <sheetData>
    <row r="1" spans="1:24" s="1" customFormat="1" ht="20.25" thickBot="1" x14ac:dyDescent="0.35">
      <c r="A1" s="1" t="s">
        <v>205</v>
      </c>
      <c r="H1" s="1" t="s">
        <v>58</v>
      </c>
      <c r="I1" s="153" t="s">
        <v>59</v>
      </c>
      <c r="J1" s="154" t="s">
        <v>60</v>
      </c>
      <c r="K1" s="155" t="s">
        <v>61</v>
      </c>
      <c r="L1" s="156" t="s">
        <v>62</v>
      </c>
      <c r="M1" s="157" t="s">
        <v>63</v>
      </c>
    </row>
    <row r="2" spans="1:24" s="152" customFormat="1" ht="19.899999999999999" customHeight="1" thickTop="1" x14ac:dyDescent="0.25">
      <c r="A2" s="152" t="s">
        <v>64</v>
      </c>
    </row>
    <row r="4" spans="1:24" s="151" customFormat="1" ht="18" thickBot="1" x14ac:dyDescent="0.35">
      <c r="A4" s="151" t="s">
        <v>65</v>
      </c>
    </row>
    <row r="5" spans="1:24" ht="15.75" outlineLevel="1" thickTop="1" x14ac:dyDescent="0.25"/>
    <row r="6" spans="1:24" outlineLevel="1" x14ac:dyDescent="0.25">
      <c r="B6" s="5" t="s">
        <v>66</v>
      </c>
      <c r="C6" s="5"/>
      <c r="I6" s="5" t="s">
        <v>67</v>
      </c>
      <c r="J6" s="5"/>
      <c r="K6" s="5"/>
    </row>
    <row r="7" spans="1:24" outlineLevel="1" x14ac:dyDescent="0.25"/>
    <row r="8" spans="1:24" ht="49.9" customHeight="1" outlineLevel="1" x14ac:dyDescent="0.25">
      <c r="B8" s="211" t="s">
        <v>206</v>
      </c>
      <c r="C8" s="212"/>
      <c r="D8" s="212"/>
      <c r="E8" s="212"/>
      <c r="F8" s="212"/>
      <c r="G8" s="213"/>
      <c r="H8" s="22"/>
      <c r="I8" s="211" t="s">
        <v>69</v>
      </c>
      <c r="J8" s="212"/>
      <c r="K8" s="212"/>
      <c r="L8" s="212"/>
      <c r="M8" s="212"/>
      <c r="N8" s="212"/>
      <c r="O8" s="213"/>
      <c r="Q8" s="22"/>
      <c r="R8" s="22"/>
      <c r="S8" s="22"/>
      <c r="T8" s="22"/>
      <c r="U8" s="22"/>
      <c r="V8" s="22"/>
      <c r="W8" s="22"/>
      <c r="X8" s="22"/>
    </row>
    <row r="9" spans="1:24" ht="14.45" customHeight="1" outlineLevel="1" x14ac:dyDescent="0.25">
      <c r="B9" s="79"/>
      <c r="C9" s="79"/>
      <c r="D9" s="79"/>
      <c r="E9" s="79"/>
      <c r="F9" s="79"/>
      <c r="G9" s="79"/>
      <c r="H9" s="22"/>
      <c r="I9" s="79"/>
      <c r="J9" s="79"/>
      <c r="K9" s="79"/>
      <c r="L9" s="79"/>
      <c r="M9" s="79"/>
      <c r="N9" s="79"/>
      <c r="O9" s="79"/>
      <c r="Q9" s="22"/>
      <c r="R9" s="22"/>
      <c r="S9" s="22"/>
      <c r="T9" s="22"/>
      <c r="U9" s="22"/>
      <c r="V9" s="22"/>
      <c r="W9" s="22"/>
      <c r="X9" s="22"/>
    </row>
    <row r="10" spans="1:24" ht="14.45" customHeight="1" outlineLevel="1" x14ac:dyDescent="0.25">
      <c r="B10" s="5" t="s">
        <v>70</v>
      </c>
      <c r="C10" s="79"/>
      <c r="D10" s="79"/>
      <c r="E10" s="79"/>
      <c r="F10" s="79"/>
      <c r="G10" s="79"/>
      <c r="H10" s="79"/>
      <c r="J10" s="79"/>
      <c r="K10" s="79"/>
      <c r="L10" s="79"/>
      <c r="M10" s="79"/>
      <c r="N10" s="79"/>
      <c r="O10" s="79"/>
      <c r="P10" s="79"/>
      <c r="Q10" s="79"/>
      <c r="R10" s="22"/>
      <c r="S10" s="22"/>
      <c r="T10" s="22"/>
      <c r="U10" s="22"/>
      <c r="V10" s="22"/>
      <c r="W10" s="22"/>
      <c r="X10" s="22"/>
    </row>
    <row r="11" spans="1:24" ht="14.45" customHeight="1" outlineLevel="1" x14ac:dyDescent="0.25">
      <c r="B11" s="79"/>
      <c r="C11" s="79"/>
      <c r="D11" s="79"/>
      <c r="E11" s="79"/>
      <c r="F11" s="79"/>
      <c r="G11" s="79"/>
      <c r="H11" s="79"/>
      <c r="J11" s="79"/>
      <c r="K11" s="79"/>
      <c r="L11" s="79"/>
      <c r="M11" s="79"/>
      <c r="N11" s="79"/>
      <c r="O11" s="79"/>
      <c r="P11" s="79"/>
      <c r="Q11" s="79"/>
      <c r="R11" s="22"/>
      <c r="S11" s="22"/>
      <c r="T11" s="22"/>
      <c r="U11" s="22"/>
      <c r="V11" s="22"/>
      <c r="W11" s="22"/>
      <c r="X11" s="22"/>
    </row>
    <row r="12" spans="1:24" ht="74.45" customHeight="1" outlineLevel="1" x14ac:dyDescent="0.25">
      <c r="B12" s="214" t="s">
        <v>207</v>
      </c>
      <c r="C12" s="215"/>
      <c r="D12" s="215"/>
      <c r="E12" s="215"/>
      <c r="F12" s="215"/>
      <c r="G12" s="215"/>
      <c r="H12" s="215"/>
      <c r="I12" s="215"/>
      <c r="J12" s="215"/>
      <c r="K12" s="215"/>
      <c r="L12" s="215"/>
      <c r="M12" s="215"/>
      <c r="N12" s="215"/>
      <c r="O12" s="215"/>
      <c r="P12" s="215"/>
      <c r="Q12" s="216"/>
      <c r="R12" s="22"/>
      <c r="S12" s="22"/>
      <c r="T12" s="22"/>
      <c r="U12" s="22"/>
      <c r="V12" s="22"/>
      <c r="W12" s="22"/>
      <c r="X12" s="22"/>
    </row>
    <row r="13" spans="1:24" ht="14.45" customHeight="1" outlineLevel="1" x14ac:dyDescent="0.25">
      <c r="B13" s="79"/>
      <c r="C13" s="79"/>
      <c r="D13" s="79"/>
      <c r="E13" s="79"/>
      <c r="F13" s="79"/>
      <c r="G13" s="79"/>
      <c r="H13" s="22"/>
      <c r="I13" s="79"/>
      <c r="J13" s="79"/>
      <c r="K13" s="79"/>
      <c r="L13" s="79"/>
      <c r="M13" s="79"/>
      <c r="N13" s="79"/>
      <c r="O13" s="79"/>
      <c r="Q13" s="22"/>
      <c r="R13" s="22"/>
      <c r="S13" s="22"/>
      <c r="T13" s="22"/>
      <c r="U13" s="22"/>
      <c r="V13" s="22"/>
      <c r="W13" s="22"/>
      <c r="X13" s="22"/>
    </row>
    <row r="14" spans="1:24" s="150" customFormat="1" ht="18" thickBot="1" x14ac:dyDescent="0.35">
      <c r="A14" s="150" t="s">
        <v>72</v>
      </c>
    </row>
    <row r="15" spans="1:24" ht="15.75" outlineLevel="1" thickTop="1" x14ac:dyDescent="0.25"/>
    <row r="16" spans="1:24" outlineLevel="1" x14ac:dyDescent="0.25">
      <c r="B16" s="4" t="s">
        <v>73</v>
      </c>
    </row>
    <row r="17" spans="1:18" outlineLevel="1" x14ac:dyDescent="0.25">
      <c r="A17" s="27" t="s">
        <v>40</v>
      </c>
      <c r="B17" s="2" t="s">
        <v>41</v>
      </c>
    </row>
    <row r="18" spans="1:18" outlineLevel="1" x14ac:dyDescent="0.25">
      <c r="A18" s="27" t="s">
        <v>45</v>
      </c>
      <c r="B18" s="2" t="s">
        <v>46</v>
      </c>
    </row>
    <row r="19" spans="1:18" ht="15.75" outlineLevel="1" thickBot="1" x14ac:dyDescent="0.3">
      <c r="A19" s="27"/>
      <c r="B19" s="28"/>
    </row>
    <row r="20" spans="1:18" ht="19.5" outlineLevel="1" thickBot="1" x14ac:dyDescent="0.35">
      <c r="A20" s="27"/>
      <c r="B20" s="158" t="s">
        <v>74</v>
      </c>
      <c r="C20" s="158"/>
      <c r="D20" s="159" t="s">
        <v>455</v>
      </c>
    </row>
    <row r="21" spans="1:18" outlineLevel="1" x14ac:dyDescent="0.25"/>
    <row r="22" spans="1:18" s="151" customFormat="1" ht="18" thickBot="1" x14ac:dyDescent="0.35">
      <c r="A22" s="151" t="s">
        <v>75</v>
      </c>
    </row>
    <row r="23" spans="1:18" ht="15.75" outlineLevel="1" thickTop="1" x14ac:dyDescent="0.25"/>
    <row r="24" spans="1:18" ht="28.9" customHeight="1" outlineLevel="1" x14ac:dyDescent="0.25">
      <c r="B24" s="199" t="s">
        <v>208</v>
      </c>
      <c r="C24" s="199"/>
      <c r="D24" s="199"/>
      <c r="E24" s="199"/>
      <c r="F24" s="199"/>
      <c r="G24" s="199"/>
      <c r="H24" s="199"/>
      <c r="I24" s="199"/>
      <c r="J24" s="199"/>
      <c r="K24" s="199"/>
      <c r="L24" s="4"/>
      <c r="M24" s="4"/>
      <c r="N24" s="4"/>
      <c r="O24" s="4"/>
      <c r="P24" s="4"/>
      <c r="Q24" s="4"/>
      <c r="R24" s="4"/>
    </row>
    <row r="25" spans="1:18" outlineLevel="1" x14ac:dyDescent="0.25"/>
    <row r="26" spans="1:18" s="8" customFormat="1" ht="15.75" outlineLevel="1" thickBot="1" x14ac:dyDescent="0.3">
      <c r="A26" s="8" t="str">
        <f>"Incremental cost and connection charge"&amp;" for "&amp;Sc2_variant</f>
        <v>Incremental cost and connection charge for Variant 2a</v>
      </c>
    </row>
    <row r="27" spans="1:18" outlineLevel="1" x14ac:dyDescent="0.25"/>
    <row r="28" spans="1:18" outlineLevel="1" x14ac:dyDescent="0.25">
      <c r="B28" s="128" t="s">
        <v>77</v>
      </c>
      <c r="C28" s="129"/>
      <c r="D28" s="163" t="str">
        <f>_xlfn.XLOOKUP(Sc2_variant,D73:E73,D74:E74)</f>
        <v>No</v>
      </c>
    </row>
    <row r="29" spans="1:18" outlineLevel="1" x14ac:dyDescent="0.25">
      <c r="B29" s="197" t="s">
        <v>78</v>
      </c>
      <c r="C29" s="198"/>
      <c r="D29" s="163" t="str">
        <f>_xlfn.XLOOKUP(Sc2_variant,D64:E64,D65:E65)</f>
        <v>Yes</v>
      </c>
    </row>
    <row r="30" spans="1:18" outlineLevel="1" x14ac:dyDescent="0.25"/>
    <row r="31" spans="1:18" ht="30" outlineLevel="1" x14ac:dyDescent="0.25">
      <c r="B31" s="7" t="s">
        <v>79</v>
      </c>
      <c r="C31" s="31" t="s">
        <v>80</v>
      </c>
      <c r="D31" s="16" t="s">
        <v>81</v>
      </c>
      <c r="E31" s="16" t="s">
        <v>82</v>
      </c>
      <c r="F31" s="196" t="s">
        <v>3</v>
      </c>
      <c r="G31" s="196"/>
      <c r="H31" s="196"/>
      <c r="I31" s="196"/>
      <c r="J31" s="196" t="s">
        <v>83</v>
      </c>
      <c r="K31" s="196"/>
      <c r="L31" s="196"/>
      <c r="M31" s="196"/>
    </row>
    <row r="32" spans="1:18" ht="14.45" customHeight="1" outlineLevel="1" x14ac:dyDescent="0.25">
      <c r="B32" s="160" t="s">
        <v>84</v>
      </c>
      <c r="C32" s="32" t="s">
        <v>85</v>
      </c>
      <c r="D32" s="15">
        <f>IF($D$28="No",_xlfn.XLOOKUP(Sc2_variant,$D$73:$E$73,$D$80:$E$80),IF($D$28="Yes",_xlfn.XLOOKUP(Sc2_variant,$D$73:$E$73,$D$88:$E$88),"error"))</f>
        <v>145200</v>
      </c>
      <c r="E32" s="32"/>
      <c r="F32" s="195" t="s">
        <v>86</v>
      </c>
      <c r="G32" s="195"/>
      <c r="H32" s="195"/>
      <c r="I32" s="195"/>
      <c r="J32" s="208" t="s">
        <v>209</v>
      </c>
      <c r="K32" s="209"/>
      <c r="L32" s="209"/>
      <c r="M32" s="210"/>
    </row>
    <row r="33" spans="2:19" ht="14.45" customHeight="1" outlineLevel="1" x14ac:dyDescent="0.25">
      <c r="B33" s="160" t="s">
        <v>88</v>
      </c>
      <c r="C33" s="32" t="s">
        <v>85</v>
      </c>
      <c r="D33" s="15">
        <f>_xlfn.XLOOKUP(Sc2_variant,$D$129:$E$129,$D$135:$E$135)</f>
        <v>51700</v>
      </c>
      <c r="E33" s="32"/>
      <c r="F33" s="195" t="s">
        <v>89</v>
      </c>
      <c r="G33" s="195"/>
      <c r="H33" s="195"/>
      <c r="I33" s="195"/>
      <c r="J33" s="195" t="s">
        <v>90</v>
      </c>
      <c r="K33" s="195"/>
      <c r="L33" s="195"/>
      <c r="M33" s="195"/>
    </row>
    <row r="34" spans="2:19" ht="62.65" customHeight="1" outlineLevel="1" x14ac:dyDescent="0.25">
      <c r="B34" s="7" t="s">
        <v>91</v>
      </c>
      <c r="C34" s="31" t="s">
        <v>85</v>
      </c>
      <c r="D34" s="164">
        <f>SUM(D32:D33)</f>
        <v>196900</v>
      </c>
      <c r="E34" s="166">
        <f>_xlfn.XLOOKUP(Sc2_variant,$D$139:$E$139,$D$140:$E$140)</f>
        <v>164170</v>
      </c>
      <c r="F34" s="195"/>
      <c r="G34" s="195"/>
      <c r="H34" s="195"/>
      <c r="I34" s="195"/>
      <c r="J34" s="195" t="s">
        <v>458</v>
      </c>
      <c r="K34" s="195"/>
      <c r="L34" s="195"/>
      <c r="M34" s="195"/>
    </row>
    <row r="35" spans="2:19" outlineLevel="1" x14ac:dyDescent="0.25">
      <c r="B35" s="4"/>
    </row>
    <row r="36" spans="2:19" outlineLevel="1" x14ac:dyDescent="0.25">
      <c r="B36" s="31" t="s">
        <v>93</v>
      </c>
      <c r="C36" s="31" t="s">
        <v>80</v>
      </c>
      <c r="D36" s="16" t="s">
        <v>81</v>
      </c>
      <c r="E36" s="16" t="s">
        <v>82</v>
      </c>
      <c r="F36" s="196" t="s">
        <v>3</v>
      </c>
      <c r="G36" s="196"/>
      <c r="H36" s="196"/>
      <c r="I36" s="196"/>
      <c r="J36" s="196" t="s">
        <v>83</v>
      </c>
      <c r="K36" s="196"/>
      <c r="L36" s="196"/>
      <c r="M36" s="196"/>
    </row>
    <row r="37" spans="2:19" ht="14.45" customHeight="1" outlineLevel="1" x14ac:dyDescent="0.25">
      <c r="B37" s="122" t="s">
        <v>94</v>
      </c>
      <c r="C37" s="32" t="s">
        <v>85</v>
      </c>
      <c r="D37" s="15">
        <f>_xlfn.XLOOKUP(Sc2_variant,D146:E146,D149:E149)</f>
        <v>0</v>
      </c>
      <c r="E37" s="17">
        <f>D37</f>
        <v>0</v>
      </c>
      <c r="F37" s="195" t="s">
        <v>95</v>
      </c>
      <c r="G37" s="195"/>
      <c r="H37" s="195"/>
      <c r="I37" s="195"/>
      <c r="J37" s="195" t="s">
        <v>210</v>
      </c>
      <c r="K37" s="195"/>
      <c r="L37" s="195"/>
      <c r="M37" s="195"/>
    </row>
    <row r="38" spans="2:19" ht="37.5" customHeight="1" outlineLevel="1" x14ac:dyDescent="0.25">
      <c r="B38" s="122" t="s">
        <v>97</v>
      </c>
      <c r="C38" s="32" t="s">
        <v>85</v>
      </c>
      <c r="D38" s="15">
        <f>_xlfn.XLOOKUP(Sc2_variant,$D$170:$E$170,$D$176:$E$176)</f>
        <v>0</v>
      </c>
      <c r="E38" s="17">
        <f>IF(D29="No",0,IF(D29="Yes",D38,"error"))</f>
        <v>0</v>
      </c>
      <c r="F38" s="195" t="s">
        <v>98</v>
      </c>
      <c r="G38" s="195"/>
      <c r="H38" s="195"/>
      <c r="I38" s="195"/>
      <c r="J38" s="195" t="s">
        <v>99</v>
      </c>
      <c r="K38" s="195"/>
      <c r="L38" s="195"/>
      <c r="M38" s="195"/>
      <c r="P38" s="161"/>
    </row>
    <row r="39" spans="2:19" outlineLevel="1" x14ac:dyDescent="0.25">
      <c r="B39" s="31" t="s">
        <v>100</v>
      </c>
      <c r="C39" s="31" t="s">
        <v>85</v>
      </c>
      <c r="D39" s="164">
        <f>SUM(D37:D38)</f>
        <v>0</v>
      </c>
      <c r="E39" s="164">
        <f>SUM(E37:E38)</f>
        <v>0</v>
      </c>
      <c r="F39" s="195"/>
      <c r="G39" s="195"/>
      <c r="H39" s="195"/>
      <c r="I39" s="195"/>
      <c r="J39" s="195"/>
      <c r="K39" s="195"/>
      <c r="L39" s="195"/>
      <c r="M39" s="195"/>
    </row>
    <row r="40" spans="2:19" outlineLevel="1" x14ac:dyDescent="0.25">
      <c r="B40" s="4"/>
    </row>
    <row r="41" spans="2:19" outlineLevel="1" x14ac:dyDescent="0.25">
      <c r="B41" s="31" t="s">
        <v>101</v>
      </c>
      <c r="C41" s="31" t="s">
        <v>80</v>
      </c>
      <c r="D41" s="16" t="s">
        <v>81</v>
      </c>
      <c r="E41" s="16" t="s">
        <v>82</v>
      </c>
      <c r="F41" s="196" t="s">
        <v>3</v>
      </c>
      <c r="G41" s="196"/>
      <c r="H41" s="196"/>
      <c r="I41" s="196"/>
      <c r="J41" s="196" t="s">
        <v>83</v>
      </c>
      <c r="K41" s="196"/>
      <c r="L41" s="196"/>
      <c r="M41" s="196"/>
    </row>
    <row r="42" spans="2:19" ht="14.45" customHeight="1" outlineLevel="1" x14ac:dyDescent="0.25">
      <c r="B42" s="125" t="s">
        <v>102</v>
      </c>
      <c r="C42" s="32" t="s">
        <v>85</v>
      </c>
      <c r="D42" s="165">
        <v>0</v>
      </c>
      <c r="E42" s="32"/>
      <c r="F42" s="195" t="s">
        <v>103</v>
      </c>
      <c r="G42" s="195"/>
      <c r="H42" s="195"/>
      <c r="I42" s="195"/>
      <c r="J42" s="195" t="s">
        <v>211</v>
      </c>
      <c r="K42" s="195"/>
      <c r="L42" s="195"/>
      <c r="M42" s="195"/>
    </row>
    <row r="43" spans="2:19" ht="14.45" customHeight="1" outlineLevel="1" x14ac:dyDescent="0.25">
      <c r="B43" s="125" t="s">
        <v>105</v>
      </c>
      <c r="C43" s="32" t="s">
        <v>85</v>
      </c>
      <c r="D43" s="15">
        <f>_xlfn.XLOOKUP(Sc2_variant,D182:E182,D183:E183)</f>
        <v>0</v>
      </c>
      <c r="E43" s="15">
        <f>D43</f>
        <v>0</v>
      </c>
      <c r="F43" s="195" t="s">
        <v>106</v>
      </c>
      <c r="G43" s="195"/>
      <c r="H43" s="195"/>
      <c r="I43" s="195"/>
      <c r="J43" s="195" t="s">
        <v>212</v>
      </c>
      <c r="K43" s="195"/>
      <c r="L43" s="195"/>
      <c r="M43" s="195"/>
      <c r="P43" s="168"/>
      <c r="Q43" s="168"/>
      <c r="R43" s="168"/>
      <c r="S43" s="168"/>
    </row>
    <row r="44" spans="2:19" ht="14.45" customHeight="1" outlineLevel="1" x14ac:dyDescent="0.25">
      <c r="B44" s="125" t="s">
        <v>108</v>
      </c>
      <c r="C44" s="32" t="s">
        <v>85</v>
      </c>
      <c r="D44" s="165">
        <v>0</v>
      </c>
      <c r="E44" s="32"/>
      <c r="F44" s="195" t="s">
        <v>109</v>
      </c>
      <c r="G44" s="195"/>
      <c r="H44" s="195"/>
      <c r="I44" s="195"/>
      <c r="J44" s="195" t="s">
        <v>213</v>
      </c>
      <c r="K44" s="195"/>
      <c r="L44" s="195"/>
      <c r="M44" s="195"/>
      <c r="P44" s="168"/>
      <c r="Q44" s="168"/>
      <c r="R44" s="168"/>
      <c r="S44" s="168"/>
    </row>
    <row r="45" spans="2:19" ht="37.5" customHeight="1" outlineLevel="1" x14ac:dyDescent="0.25">
      <c r="B45" s="125" t="s">
        <v>111</v>
      </c>
      <c r="C45" s="32" t="s">
        <v>85</v>
      </c>
      <c r="D45" s="165">
        <v>0</v>
      </c>
      <c r="E45" s="165">
        <v>0</v>
      </c>
      <c r="F45" s="195" t="s">
        <v>214</v>
      </c>
      <c r="G45" s="195"/>
      <c r="H45" s="195"/>
      <c r="I45" s="195"/>
      <c r="J45" s="195" t="s">
        <v>215</v>
      </c>
      <c r="K45" s="195"/>
      <c r="L45" s="195"/>
      <c r="M45" s="195"/>
      <c r="P45" s="168"/>
      <c r="Q45" s="168"/>
      <c r="R45" s="168"/>
      <c r="S45" s="168"/>
    </row>
    <row r="46" spans="2:19" ht="25.15" customHeight="1" outlineLevel="1" x14ac:dyDescent="0.25">
      <c r="B46" s="125" t="s">
        <v>114</v>
      </c>
      <c r="C46" s="32" t="s">
        <v>85</v>
      </c>
      <c r="D46" s="165">
        <v>0</v>
      </c>
      <c r="E46" s="165">
        <v>0</v>
      </c>
      <c r="F46" s="195" t="s">
        <v>115</v>
      </c>
      <c r="G46" s="195"/>
      <c r="H46" s="195"/>
      <c r="I46" s="195"/>
      <c r="J46" s="195" t="s">
        <v>215</v>
      </c>
      <c r="K46" s="195"/>
      <c r="L46" s="195"/>
      <c r="M46" s="195"/>
      <c r="P46" s="168"/>
      <c r="Q46" s="168"/>
      <c r="R46" s="168"/>
      <c r="S46" s="168"/>
    </row>
    <row r="47" spans="2:19" outlineLevel="1" x14ac:dyDescent="0.25">
      <c r="P47" s="168"/>
      <c r="Q47" s="168"/>
      <c r="R47" s="168"/>
      <c r="S47" s="168"/>
    </row>
    <row r="48" spans="2:19" outlineLevel="1" x14ac:dyDescent="0.25">
      <c r="B48" s="31" t="s">
        <v>116</v>
      </c>
      <c r="C48" s="32"/>
      <c r="D48" s="16" t="s">
        <v>81</v>
      </c>
      <c r="E48" s="16" t="s">
        <v>82</v>
      </c>
      <c r="F48" s="196" t="s">
        <v>3</v>
      </c>
      <c r="G48" s="196"/>
      <c r="H48" s="196"/>
      <c r="I48" s="196"/>
      <c r="J48" s="196" t="s">
        <v>83</v>
      </c>
      <c r="K48" s="196"/>
      <c r="L48" s="196"/>
      <c r="M48" s="196"/>
      <c r="P48" s="168"/>
      <c r="Q48" s="168"/>
      <c r="R48" s="168"/>
      <c r="S48" s="168"/>
    </row>
    <row r="49" spans="1:19" outlineLevel="1" x14ac:dyDescent="0.25">
      <c r="B49" s="31" t="s">
        <v>117</v>
      </c>
      <c r="C49" s="31" t="s">
        <v>85</v>
      </c>
      <c r="D49" s="164">
        <f>SUM(D34,D39,D42:D46)</f>
        <v>196900</v>
      </c>
      <c r="E49" s="31"/>
      <c r="F49" s="195"/>
      <c r="G49" s="195"/>
      <c r="H49" s="195"/>
      <c r="I49" s="195"/>
      <c r="J49" s="195"/>
      <c r="K49" s="195"/>
      <c r="L49" s="195"/>
      <c r="M49" s="195"/>
      <c r="P49" s="168"/>
      <c r="Q49" s="168"/>
      <c r="R49" s="168"/>
      <c r="S49" s="168"/>
    </row>
    <row r="50" spans="1:19" outlineLevel="1" x14ac:dyDescent="0.25">
      <c r="B50" s="31" t="s">
        <v>118</v>
      </c>
      <c r="C50" s="31" t="s">
        <v>85</v>
      </c>
      <c r="D50" s="31"/>
      <c r="E50" s="164">
        <f>SUM(E34,E39,E42:E46)</f>
        <v>164170</v>
      </c>
      <c r="F50" s="195"/>
      <c r="G50" s="195"/>
      <c r="H50" s="195"/>
      <c r="I50" s="195"/>
      <c r="J50" s="195"/>
      <c r="K50" s="195"/>
      <c r="L50" s="195"/>
      <c r="M50" s="195"/>
    </row>
    <row r="51" spans="1:19" outlineLevel="1" x14ac:dyDescent="0.25">
      <c r="B51" s="4"/>
      <c r="F51" s="161"/>
      <c r="G51" s="161"/>
      <c r="H51" s="161"/>
      <c r="I51" s="161"/>
      <c r="J51" s="161"/>
      <c r="K51" s="161"/>
    </row>
    <row r="52" spans="1:19" s="8" customFormat="1" ht="15.75" outlineLevel="1" thickBot="1" x14ac:dyDescent="0.3">
      <c r="A52" s="8" t="str">
        <f>"Other charges (not part of the connection charge)"&amp;" for "&amp;Sc2_variant</f>
        <v>Other charges (not part of the connection charge) for Variant 2a</v>
      </c>
    </row>
    <row r="53" spans="1:19" outlineLevel="1" x14ac:dyDescent="0.25">
      <c r="B53" s="4"/>
      <c r="F53" s="161"/>
      <c r="G53" s="161"/>
      <c r="H53" s="161"/>
      <c r="I53" s="161"/>
      <c r="J53" s="161"/>
      <c r="K53" s="161"/>
    </row>
    <row r="54" spans="1:19" outlineLevel="1" x14ac:dyDescent="0.25">
      <c r="B54" s="31" t="s">
        <v>119</v>
      </c>
      <c r="C54" s="7" t="s">
        <v>80</v>
      </c>
      <c r="D54" s="16"/>
      <c r="E54" s="16" t="s">
        <v>82</v>
      </c>
      <c r="F54" s="196" t="s">
        <v>3</v>
      </c>
      <c r="G54" s="196"/>
      <c r="H54" s="196"/>
      <c r="I54" s="196"/>
      <c r="J54" s="196" t="s">
        <v>83</v>
      </c>
      <c r="K54" s="196"/>
      <c r="L54" s="196"/>
      <c r="M54" s="196"/>
    </row>
    <row r="55" spans="1:19" ht="14.45" customHeight="1" outlineLevel="1" x14ac:dyDescent="0.25">
      <c r="B55" s="32" t="s">
        <v>120</v>
      </c>
      <c r="C55" s="6" t="s">
        <v>85</v>
      </c>
      <c r="D55" s="68"/>
      <c r="E55" s="15">
        <f>_xlfn.XLOOKUP(Sc2_variant,D188:E188,D189:E189)</f>
        <v>0</v>
      </c>
      <c r="F55" s="195" t="s">
        <v>121</v>
      </c>
      <c r="G55" s="195"/>
      <c r="H55" s="195"/>
      <c r="I55" s="195"/>
      <c r="J55" s="195" t="s">
        <v>216</v>
      </c>
      <c r="K55" s="195"/>
      <c r="L55" s="195"/>
      <c r="M55" s="195"/>
    </row>
    <row r="56" spans="1:19" ht="14.45" customHeight="1" outlineLevel="1" x14ac:dyDescent="0.25">
      <c r="B56" s="32" t="s">
        <v>123</v>
      </c>
      <c r="C56" s="6" t="s">
        <v>85</v>
      </c>
      <c r="D56" s="32"/>
      <c r="E56" s="15">
        <f>_xlfn.XLOOKUP(Sc2_variant,D194:E194,D197:E197)</f>
        <v>950</v>
      </c>
      <c r="F56" s="195" t="s">
        <v>124</v>
      </c>
      <c r="G56" s="195"/>
      <c r="H56" s="195"/>
      <c r="I56" s="195"/>
      <c r="J56" s="195"/>
      <c r="K56" s="195"/>
      <c r="L56" s="195"/>
      <c r="M56" s="195"/>
    </row>
    <row r="57" spans="1:19" outlineLevel="1" x14ac:dyDescent="0.25">
      <c r="B57" s="4"/>
      <c r="F57" s="161"/>
      <c r="G57" s="161"/>
      <c r="H57" s="161"/>
      <c r="I57" s="161"/>
      <c r="J57" s="161"/>
      <c r="K57" s="161"/>
    </row>
    <row r="58" spans="1:19" s="151" customFormat="1" ht="18" thickBot="1" x14ac:dyDescent="0.35">
      <c r="A58" s="151" t="s">
        <v>217</v>
      </c>
    </row>
    <row r="59" spans="1:19" ht="15.75" outlineLevel="1" thickTop="1" x14ac:dyDescent="0.25">
      <c r="B59" s="4"/>
      <c r="F59" s="161"/>
      <c r="G59" s="161"/>
      <c r="H59" s="161"/>
      <c r="I59" s="161"/>
      <c r="J59" s="161"/>
      <c r="K59" s="161"/>
    </row>
    <row r="60" spans="1:19" outlineLevel="1" x14ac:dyDescent="0.25">
      <c r="B60" s="31" t="s">
        <v>126</v>
      </c>
      <c r="C60" s="7" t="s">
        <v>80</v>
      </c>
      <c r="D60" s="16" t="str">
        <f>"Variant"&amp;" "&amp;$A$17</f>
        <v>Variant 2a</v>
      </c>
      <c r="E60" s="16" t="str">
        <f>"Variant"&amp;" "&amp;$A$18</f>
        <v>Variant 2b</v>
      </c>
      <c r="F60" s="196" t="s">
        <v>3</v>
      </c>
      <c r="G60" s="196"/>
      <c r="H60" s="196"/>
      <c r="I60" s="196"/>
      <c r="J60" s="196" t="s">
        <v>83</v>
      </c>
      <c r="K60" s="196"/>
      <c r="L60" s="196"/>
      <c r="M60" s="196"/>
    </row>
    <row r="61" spans="1:19" ht="37.5" customHeight="1" outlineLevel="1" x14ac:dyDescent="0.25">
      <c r="B61" s="32" t="s">
        <v>127</v>
      </c>
      <c r="C61" s="6" t="s">
        <v>85</v>
      </c>
      <c r="D61" s="17">
        <f>IF(D74="No",D80,IF(D74="Yes",D88,"error"))+SUM(D135,D149,D176,D183)</f>
        <v>196900</v>
      </c>
      <c r="E61" s="17">
        <f>IF(E74="No",E80,IF(E74="Yes",E88,"error"))+SUM(E135,E149,E176,E183)</f>
        <v>58310</v>
      </c>
      <c r="F61" s="195" t="s">
        <v>128</v>
      </c>
      <c r="G61" s="195"/>
      <c r="H61" s="195"/>
      <c r="I61" s="195"/>
      <c r="J61" s="195"/>
      <c r="K61" s="195"/>
      <c r="L61" s="195"/>
      <c r="M61" s="195"/>
    </row>
    <row r="62" spans="1:19" ht="49.9" customHeight="1" outlineLevel="1" x14ac:dyDescent="0.25">
      <c r="B62" s="32" t="s">
        <v>129</v>
      </c>
      <c r="C62" s="6" t="s">
        <v>85</v>
      </c>
      <c r="D62" s="17">
        <f>SUM(D140,D149,D183)+IF(D65="Yes",D176,IF(D65="No",0,"error"))</f>
        <v>164170</v>
      </c>
      <c r="E62" s="17">
        <f>SUM(E140,E149,E183)+IF(E65="Yes",E176,IF(E65="No",0,"error"))</f>
        <v>25580</v>
      </c>
      <c r="F62" s="195" t="s">
        <v>130</v>
      </c>
      <c r="G62" s="195"/>
      <c r="H62" s="195"/>
      <c r="I62" s="195"/>
      <c r="J62" s="195"/>
      <c r="K62" s="195"/>
      <c r="L62" s="195"/>
      <c r="M62" s="195"/>
    </row>
    <row r="63" spans="1:19" outlineLevel="1" x14ac:dyDescent="0.25">
      <c r="B63" s="4"/>
      <c r="F63" s="161"/>
    </row>
    <row r="64" spans="1:19" outlineLevel="1" x14ac:dyDescent="0.25">
      <c r="B64" s="207" t="s">
        <v>131</v>
      </c>
      <c r="C64" s="207"/>
      <c r="D64" s="16" t="str">
        <f>"Variant"&amp;" "&amp;$A$17</f>
        <v>Variant 2a</v>
      </c>
      <c r="E64" s="16" t="str">
        <f>"Variant"&amp;" "&amp;$A$18</f>
        <v>Variant 2b</v>
      </c>
      <c r="F64" s="196" t="s">
        <v>83</v>
      </c>
      <c r="G64" s="196"/>
      <c r="H64" s="196"/>
      <c r="I64" s="196"/>
      <c r="J64" s="196"/>
      <c r="K64" s="196"/>
      <c r="L64" s="196"/>
      <c r="M64" s="196"/>
    </row>
    <row r="65" spans="1:13" ht="14.45" customHeight="1" outlineLevel="1" x14ac:dyDescent="0.25">
      <c r="B65" s="196" t="s">
        <v>132</v>
      </c>
      <c r="C65" s="196"/>
      <c r="D65" s="39" t="s">
        <v>134</v>
      </c>
      <c r="E65" s="39" t="s">
        <v>134</v>
      </c>
      <c r="F65" s="201" t="s">
        <v>135</v>
      </c>
      <c r="G65" s="201"/>
      <c r="H65" s="201"/>
      <c r="I65" s="201"/>
      <c r="J65" s="201"/>
      <c r="K65" s="201"/>
      <c r="L65" s="201"/>
      <c r="M65" s="201"/>
    </row>
    <row r="66" spans="1:13" outlineLevel="1" x14ac:dyDescent="0.25">
      <c r="B66" s="4"/>
      <c r="F66" s="161"/>
      <c r="G66" s="161"/>
      <c r="H66" s="161"/>
      <c r="I66" s="161"/>
      <c r="J66" s="161"/>
      <c r="K66" s="161"/>
    </row>
    <row r="67" spans="1:13" s="151" customFormat="1" ht="18" thickBot="1" x14ac:dyDescent="0.35">
      <c r="A67" s="151" t="s">
        <v>218</v>
      </c>
    </row>
    <row r="68" spans="1:13" ht="15.75" outlineLevel="1" thickTop="1" x14ac:dyDescent="0.25">
      <c r="B68" s="4"/>
      <c r="F68" s="161"/>
      <c r="G68" s="161"/>
      <c r="H68" s="161"/>
      <c r="I68" s="161"/>
      <c r="J68" s="161"/>
      <c r="K68" s="161"/>
    </row>
    <row r="69" spans="1:13" s="8" customFormat="1" ht="15.75" outlineLevel="1" thickBot="1" x14ac:dyDescent="0.3">
      <c r="A69" s="8" t="s">
        <v>137</v>
      </c>
    </row>
    <row r="70" spans="1:13" outlineLevel="1" x14ac:dyDescent="0.25">
      <c r="B70" s="4"/>
      <c r="F70" s="161"/>
      <c r="G70" s="161"/>
      <c r="H70" s="161"/>
      <c r="I70" s="161"/>
      <c r="J70" s="161"/>
      <c r="K70" s="161"/>
    </row>
    <row r="71" spans="1:13" outlineLevel="1" x14ac:dyDescent="0.25">
      <c r="A71" s="11" t="s">
        <v>138</v>
      </c>
      <c r="B71" s="5"/>
    </row>
    <row r="72" spans="1:13" outlineLevel="1" x14ac:dyDescent="0.25">
      <c r="B72" s="4"/>
      <c r="F72" s="161"/>
      <c r="G72" s="161"/>
      <c r="H72" s="161"/>
      <c r="I72" s="161"/>
      <c r="J72" s="161"/>
      <c r="K72" s="161"/>
    </row>
    <row r="73" spans="1:13" outlineLevel="2" x14ac:dyDescent="0.25">
      <c r="A73" s="3"/>
      <c r="D73" s="37" t="str">
        <f>"Variant"&amp;" "&amp;$A$17</f>
        <v>Variant 2a</v>
      </c>
      <c r="E73" s="37" t="str">
        <f>"Variant"&amp;" "&amp;$A$18</f>
        <v>Variant 2b</v>
      </c>
      <c r="F73" s="196" t="s">
        <v>83</v>
      </c>
      <c r="G73" s="196"/>
      <c r="H73" s="196"/>
      <c r="I73" s="196"/>
      <c r="J73" s="196"/>
      <c r="K73" s="196"/>
      <c r="L73" s="196"/>
      <c r="M73" s="196"/>
    </row>
    <row r="74" spans="1:13" ht="14.45" customHeight="1" outlineLevel="2" x14ac:dyDescent="0.25">
      <c r="A74" s="3"/>
      <c r="B74" s="31" t="s">
        <v>77</v>
      </c>
      <c r="C74" s="32"/>
      <c r="D74" s="39" t="s">
        <v>133</v>
      </c>
      <c r="E74" s="39" t="s">
        <v>134</v>
      </c>
      <c r="F74" s="201" t="s">
        <v>139</v>
      </c>
      <c r="G74" s="201"/>
      <c r="H74" s="201"/>
      <c r="I74" s="201"/>
      <c r="J74" s="201"/>
      <c r="K74" s="201"/>
      <c r="L74" s="201"/>
      <c r="M74" s="201"/>
    </row>
    <row r="75" spans="1:13" outlineLevel="2" x14ac:dyDescent="0.25">
      <c r="A75" s="3"/>
    </row>
    <row r="76" spans="1:13" outlineLevel="2" x14ac:dyDescent="0.25">
      <c r="B76" s="21" t="s">
        <v>140</v>
      </c>
      <c r="C76" s="31" t="s">
        <v>80</v>
      </c>
      <c r="D76" s="16" t="str">
        <f>"Variant"&amp;" "&amp;$A$17</f>
        <v>Variant 2a</v>
      </c>
      <c r="E76" s="16" t="str">
        <f>"Variant"&amp;" "&amp;$A$18</f>
        <v>Variant 2b</v>
      </c>
      <c r="F76" s="196" t="s">
        <v>83</v>
      </c>
      <c r="G76" s="196"/>
      <c r="H76" s="196"/>
      <c r="I76" s="196"/>
      <c r="J76" s="196"/>
      <c r="K76" s="196"/>
      <c r="L76" s="196"/>
      <c r="M76" s="196"/>
    </row>
    <row r="77" spans="1:13" ht="14.45" customHeight="1" outlineLevel="2" x14ac:dyDescent="0.25">
      <c r="B77" s="19" t="s">
        <v>454</v>
      </c>
      <c r="C77" s="32" t="s">
        <v>85</v>
      </c>
      <c r="D77" s="9">
        <v>100000</v>
      </c>
      <c r="E77" s="9"/>
      <c r="F77" s="220" t="s">
        <v>460</v>
      </c>
      <c r="G77" s="220"/>
      <c r="H77" s="220"/>
      <c r="I77" s="220"/>
      <c r="J77" s="220"/>
      <c r="K77" s="220"/>
      <c r="L77" s="220"/>
      <c r="M77" s="220"/>
    </row>
    <row r="78" spans="1:13" ht="14.45" customHeight="1" outlineLevel="2" x14ac:dyDescent="0.25">
      <c r="A78" s="10"/>
      <c r="B78" s="19" t="s">
        <v>141</v>
      </c>
      <c r="C78" s="32" t="s">
        <v>85</v>
      </c>
      <c r="D78" s="116">
        <v>1200</v>
      </c>
      <c r="E78" s="9"/>
      <c r="F78" s="201" t="s">
        <v>220</v>
      </c>
      <c r="G78" s="201"/>
      <c r="H78" s="201"/>
      <c r="I78" s="201"/>
      <c r="J78" s="201"/>
      <c r="K78" s="201"/>
      <c r="L78" s="201"/>
      <c r="M78" s="201"/>
    </row>
    <row r="79" spans="1:13" ht="14.45" customHeight="1" outlineLevel="2" x14ac:dyDescent="0.25">
      <c r="A79" s="10"/>
      <c r="B79" s="19" t="s">
        <v>221</v>
      </c>
      <c r="C79" s="32" t="s">
        <v>85</v>
      </c>
      <c r="D79" s="116">
        <v>44000</v>
      </c>
      <c r="E79" s="9"/>
      <c r="F79" s="201" t="s">
        <v>222</v>
      </c>
      <c r="G79" s="201"/>
      <c r="H79" s="201"/>
      <c r="I79" s="201"/>
      <c r="J79" s="201"/>
      <c r="K79" s="201"/>
      <c r="L79" s="201"/>
      <c r="M79" s="201"/>
    </row>
    <row r="80" spans="1:13" ht="15.75" outlineLevel="2" thickBot="1" x14ac:dyDescent="0.3">
      <c r="B80" s="50" t="s">
        <v>149</v>
      </c>
      <c r="C80" s="49" t="s">
        <v>85</v>
      </c>
      <c r="D80" s="51">
        <f>SUM(D77:D79)</f>
        <v>145200</v>
      </c>
      <c r="E80" s="51">
        <f>SUM(E77:E79)</f>
        <v>0</v>
      </c>
    </row>
    <row r="81" spans="1:13" ht="15.75" outlineLevel="2" thickTop="1" x14ac:dyDescent="0.25">
      <c r="B81" s="34"/>
      <c r="C81" s="4"/>
      <c r="D81" s="47"/>
      <c r="E81" s="47"/>
    </row>
    <row r="82" spans="1:13" outlineLevel="2" x14ac:dyDescent="0.25">
      <c r="B82" s="18" t="s">
        <v>150</v>
      </c>
      <c r="C82" s="31" t="s">
        <v>80</v>
      </c>
      <c r="D82" s="16" t="str">
        <f>"Variant"&amp;" "&amp;$A$17</f>
        <v>Variant 2a</v>
      </c>
      <c r="E82" s="16" t="str">
        <f>"Variant"&amp;" "&amp;$A$18</f>
        <v>Variant 2b</v>
      </c>
      <c r="F82" s="196" t="s">
        <v>83</v>
      </c>
      <c r="G82" s="196"/>
      <c r="H82" s="196"/>
      <c r="I82" s="196"/>
      <c r="J82" s="196"/>
      <c r="K82" s="196"/>
      <c r="L82" s="196"/>
      <c r="M82" s="196"/>
    </row>
    <row r="83" spans="1:13" ht="14.45" customHeight="1" outlineLevel="2" x14ac:dyDescent="0.25">
      <c r="B83" s="19" t="s">
        <v>223</v>
      </c>
      <c r="C83" s="32" t="s">
        <v>85</v>
      </c>
      <c r="D83" s="9"/>
      <c r="E83" s="119">
        <v>20000</v>
      </c>
      <c r="F83" s="201" t="s">
        <v>224</v>
      </c>
      <c r="G83" s="201"/>
      <c r="H83" s="201"/>
      <c r="I83" s="201"/>
      <c r="J83" s="201"/>
      <c r="K83" s="201"/>
      <c r="L83" s="201"/>
      <c r="M83" s="201"/>
    </row>
    <row r="84" spans="1:13" ht="14.45" customHeight="1" outlineLevel="2" x14ac:dyDescent="0.25">
      <c r="B84" s="19" t="s">
        <v>219</v>
      </c>
      <c r="C84" s="32"/>
      <c r="D84" s="9"/>
      <c r="E84" s="117"/>
      <c r="F84" s="201" t="s">
        <v>225</v>
      </c>
      <c r="G84" s="201"/>
      <c r="H84" s="201"/>
      <c r="I84" s="201"/>
      <c r="J84" s="201"/>
      <c r="K84" s="201"/>
      <c r="L84" s="201"/>
      <c r="M84" s="201"/>
    </row>
    <row r="85" spans="1:13" ht="14.45" customHeight="1" outlineLevel="2" x14ac:dyDescent="0.25">
      <c r="B85" s="19" t="s">
        <v>141</v>
      </c>
      <c r="C85" s="32" t="s">
        <v>85</v>
      </c>
      <c r="D85" s="9"/>
      <c r="E85" s="119">
        <v>1200</v>
      </c>
      <c r="F85" s="201" t="s">
        <v>226</v>
      </c>
      <c r="G85" s="201"/>
      <c r="H85" s="201"/>
      <c r="I85" s="201"/>
      <c r="J85" s="201"/>
      <c r="K85" s="201"/>
      <c r="L85" s="201"/>
      <c r="M85" s="201"/>
    </row>
    <row r="86" spans="1:13" outlineLevel="2" x14ac:dyDescent="0.25">
      <c r="B86" s="19" t="s">
        <v>221</v>
      </c>
      <c r="C86" s="32" t="s">
        <v>85</v>
      </c>
      <c r="D86" s="9"/>
      <c r="E86" s="119"/>
      <c r="F86" s="201" t="s">
        <v>225</v>
      </c>
      <c r="G86" s="201"/>
      <c r="H86" s="201"/>
      <c r="I86" s="201"/>
      <c r="J86" s="201"/>
      <c r="K86" s="201"/>
      <c r="L86" s="201"/>
      <c r="M86" s="201"/>
    </row>
    <row r="87" spans="1:13" outlineLevel="2" x14ac:dyDescent="0.25">
      <c r="B87" s="19" t="s">
        <v>227</v>
      </c>
      <c r="C87" s="32" t="s">
        <v>85</v>
      </c>
      <c r="D87" s="9"/>
      <c r="E87" s="119">
        <v>2000</v>
      </c>
      <c r="F87" s="201"/>
      <c r="G87" s="201"/>
      <c r="H87" s="201"/>
      <c r="I87" s="201"/>
      <c r="J87" s="201"/>
      <c r="K87" s="201"/>
      <c r="L87" s="201"/>
      <c r="M87" s="201"/>
    </row>
    <row r="88" spans="1:13" ht="15.75" outlineLevel="2" thickBot="1" x14ac:dyDescent="0.3">
      <c r="B88" s="50" t="s">
        <v>152</v>
      </c>
      <c r="C88" s="49" t="s">
        <v>85</v>
      </c>
      <c r="D88" s="51">
        <f>SUM(D83:D87)</f>
        <v>0</v>
      </c>
      <c r="E88" s="51">
        <f>SUM(E83:E87)</f>
        <v>23200</v>
      </c>
    </row>
    <row r="89" spans="1:13" ht="15.75" outlineLevel="2" thickTop="1" x14ac:dyDescent="0.25">
      <c r="B89" s="34"/>
      <c r="C89" s="4"/>
      <c r="D89" s="47"/>
      <c r="E89" s="47"/>
      <c r="F89" s="47"/>
      <c r="G89" s="47"/>
      <c r="H89" s="47"/>
      <c r="I89" s="47"/>
      <c r="J89" s="47"/>
    </row>
    <row r="90" spans="1:13" outlineLevel="1" x14ac:dyDescent="0.25">
      <c r="A90" s="11" t="s">
        <v>153</v>
      </c>
      <c r="B90" s="5"/>
    </row>
    <row r="91" spans="1:13" outlineLevel="1" x14ac:dyDescent="0.25">
      <c r="A91" s="11"/>
      <c r="B91" s="5"/>
    </row>
    <row r="92" spans="1:13" outlineLevel="1" x14ac:dyDescent="0.25">
      <c r="C92" s="31" t="s">
        <v>80</v>
      </c>
      <c r="D92" s="16" t="str">
        <f>"Variant"&amp;" "&amp;$A$17</f>
        <v>Variant 2a</v>
      </c>
      <c r="E92" s="16" t="str">
        <f>"Variant"&amp;" "&amp;$A$18</f>
        <v>Variant 2b</v>
      </c>
      <c r="F92" s="196" t="s">
        <v>83</v>
      </c>
      <c r="G92" s="196"/>
      <c r="H92" s="196"/>
      <c r="I92" s="196"/>
      <c r="J92" s="196"/>
      <c r="K92" s="196"/>
      <c r="L92" s="196"/>
      <c r="M92" s="196"/>
    </row>
    <row r="93" spans="1:13" ht="14.45" customHeight="1" outlineLevel="1" x14ac:dyDescent="0.25">
      <c r="B93" s="31" t="s">
        <v>154</v>
      </c>
      <c r="C93" s="32" t="s">
        <v>155</v>
      </c>
      <c r="D93" s="33" t="s">
        <v>228</v>
      </c>
      <c r="E93" s="33" t="s">
        <v>228</v>
      </c>
      <c r="F93" s="201" t="s">
        <v>158</v>
      </c>
      <c r="G93" s="201"/>
      <c r="H93" s="201"/>
      <c r="I93" s="201"/>
      <c r="J93" s="201"/>
      <c r="K93" s="201"/>
      <c r="L93" s="201"/>
      <c r="M93" s="201"/>
    </row>
    <row r="94" spans="1:13" outlineLevel="1" x14ac:dyDescent="0.25"/>
    <row r="95" spans="1:13" outlineLevel="1" x14ac:dyDescent="0.25">
      <c r="B95" s="31" t="s">
        <v>159</v>
      </c>
      <c r="C95" s="31" t="s">
        <v>80</v>
      </c>
      <c r="D95" s="16" t="str">
        <f>"Variant"&amp;" "&amp;$A$17</f>
        <v>Variant 2a</v>
      </c>
      <c r="E95" s="16" t="str">
        <f>"Variant"&amp;" "&amp;$A$18</f>
        <v>Variant 2b</v>
      </c>
      <c r="F95" s="196" t="s">
        <v>83</v>
      </c>
      <c r="G95" s="196"/>
      <c r="H95" s="196"/>
      <c r="I95" s="196"/>
      <c r="J95" s="196"/>
      <c r="K95" s="196"/>
      <c r="L95" s="196"/>
      <c r="M95" s="196"/>
    </row>
    <row r="96" spans="1:13" ht="14.45" customHeight="1" outlineLevel="1" x14ac:dyDescent="0.25">
      <c r="B96" s="19" t="s">
        <v>160</v>
      </c>
      <c r="C96" s="32" t="s">
        <v>161</v>
      </c>
      <c r="D96" s="15">
        <f>IF(D$93="","",_xlfn.XLOOKUP(D$93,'Network costing zones'!$D$4:$F$4,'Network costing zones'!$D5:$F5,"error"))</f>
        <v>170</v>
      </c>
      <c r="E96" s="15">
        <f>IF(E$93="","",_xlfn.XLOOKUP(E$93,'Network costing zones'!$D$4:$F$4,'Network costing zones'!$D5:$F5,"error"))</f>
        <v>170</v>
      </c>
      <c r="F96" s="201" t="s">
        <v>162</v>
      </c>
      <c r="G96" s="201"/>
      <c r="H96" s="201"/>
      <c r="I96" s="201"/>
      <c r="J96" s="201"/>
      <c r="K96" s="201"/>
      <c r="L96" s="201"/>
      <c r="M96" s="201"/>
    </row>
    <row r="97" spans="2:13" outlineLevel="1" x14ac:dyDescent="0.25">
      <c r="B97" s="19" t="s">
        <v>163</v>
      </c>
      <c r="C97" s="32" t="s">
        <v>161</v>
      </c>
      <c r="D97" s="15">
        <f>IF(D$93="","",_xlfn.XLOOKUP(D$93,'Network costing zones'!$D$4:$F$4,'Network costing zones'!$D6:$F6,"error"))</f>
        <v>530</v>
      </c>
      <c r="E97" s="15">
        <f>IF(E$93="","",_xlfn.XLOOKUP(E$93,'Network costing zones'!$D$4:$F$4,'Network costing zones'!$D6:$F6,"error"))</f>
        <v>530</v>
      </c>
      <c r="F97" s="201"/>
      <c r="G97" s="201"/>
      <c r="H97" s="201"/>
      <c r="I97" s="201"/>
      <c r="J97" s="201"/>
      <c r="K97" s="201"/>
      <c r="L97" s="201"/>
      <c r="M97" s="201"/>
    </row>
    <row r="98" spans="2:13" outlineLevel="1" x14ac:dyDescent="0.25">
      <c r="B98" s="19" t="s">
        <v>164</v>
      </c>
      <c r="C98" s="32" t="s">
        <v>161</v>
      </c>
      <c r="D98" s="15">
        <f>IF(D$93="","",_xlfn.XLOOKUP(D$93,'Network costing zones'!$D$4:$F$4,'Network costing zones'!$D7:$F7,"error"))</f>
        <v>85</v>
      </c>
      <c r="E98" s="15">
        <f>IF(E$93="","",_xlfn.XLOOKUP(E$93,'Network costing zones'!$D$4:$F$4,'Network costing zones'!$D7:$F7,"error"))</f>
        <v>85</v>
      </c>
      <c r="F98" s="201"/>
      <c r="G98" s="201"/>
      <c r="H98" s="201"/>
      <c r="I98" s="201"/>
      <c r="J98" s="201"/>
      <c r="K98" s="201"/>
      <c r="L98" s="201"/>
      <c r="M98" s="201"/>
    </row>
    <row r="99" spans="2:13" outlineLevel="1" x14ac:dyDescent="0.25">
      <c r="B99" s="19" t="s">
        <v>165</v>
      </c>
      <c r="C99" s="32" t="s">
        <v>161</v>
      </c>
      <c r="D99" s="15">
        <f>IF(D$93="","",_xlfn.XLOOKUP(D$93,'Network costing zones'!$D$4:$F$4,'Network costing zones'!$D8:$F8,"error"))</f>
        <v>380</v>
      </c>
      <c r="E99" s="15">
        <f>IF(E$93="","",_xlfn.XLOOKUP(E$93,'Network costing zones'!$D$4:$F$4,'Network costing zones'!$D8:$F8,"error"))</f>
        <v>380</v>
      </c>
      <c r="F99" s="201"/>
      <c r="G99" s="201"/>
      <c r="H99" s="201"/>
      <c r="I99" s="201"/>
      <c r="J99" s="201"/>
      <c r="K99" s="201"/>
      <c r="L99" s="201"/>
      <c r="M99" s="201"/>
    </row>
    <row r="100" spans="2:13" outlineLevel="1" x14ac:dyDescent="0.25">
      <c r="B100" s="19" t="s">
        <v>166</v>
      </c>
      <c r="C100" s="32" t="s">
        <v>161</v>
      </c>
      <c r="D100" s="15">
        <f>IF(D$93="","",_xlfn.XLOOKUP(D$93,'Network costing zones'!$D$4:$F$4,'Network costing zones'!$D9:$F9,"error"))</f>
        <v>100</v>
      </c>
      <c r="E100" s="15">
        <f>IF(E$93="","",_xlfn.XLOOKUP(E$93,'Network costing zones'!$D$4:$F$4,'Network costing zones'!$D9:$F9,"error"))</f>
        <v>100</v>
      </c>
      <c r="F100" s="201"/>
      <c r="G100" s="201"/>
      <c r="H100" s="201"/>
      <c r="I100" s="201"/>
      <c r="J100" s="201"/>
      <c r="K100" s="201"/>
      <c r="L100" s="201"/>
      <c r="M100" s="201"/>
    </row>
    <row r="101" spans="2:13" outlineLevel="1" x14ac:dyDescent="0.25"/>
    <row r="102" spans="2:13" ht="30" outlineLevel="1" x14ac:dyDescent="0.25">
      <c r="B102" s="7" t="s">
        <v>167</v>
      </c>
      <c r="C102" s="31" t="s">
        <v>80</v>
      </c>
      <c r="D102" s="16" t="str">
        <f>"Variant"&amp;" "&amp;$A$17</f>
        <v>Variant 2a</v>
      </c>
      <c r="E102" s="16" t="str">
        <f>"Variant"&amp;" "&amp;$A$18</f>
        <v>Variant 2b</v>
      </c>
      <c r="F102" s="196" t="s">
        <v>83</v>
      </c>
      <c r="G102" s="196"/>
      <c r="H102" s="196"/>
      <c r="I102" s="196"/>
      <c r="J102" s="196"/>
      <c r="K102" s="196"/>
      <c r="L102" s="196"/>
      <c r="M102" s="196"/>
    </row>
    <row r="103" spans="2:13" ht="14.45" customHeight="1" outlineLevel="1" x14ac:dyDescent="0.25">
      <c r="B103" s="19" t="s">
        <v>160</v>
      </c>
      <c r="C103" s="32" t="s">
        <v>168</v>
      </c>
      <c r="D103" s="9">
        <v>0</v>
      </c>
      <c r="E103" s="9">
        <v>0</v>
      </c>
      <c r="F103" s="201" t="s">
        <v>229</v>
      </c>
      <c r="G103" s="201"/>
      <c r="H103" s="201"/>
      <c r="I103" s="201"/>
      <c r="J103" s="201"/>
      <c r="K103" s="201"/>
      <c r="L103" s="201"/>
      <c r="M103" s="201"/>
    </row>
    <row r="104" spans="2:13" outlineLevel="1" x14ac:dyDescent="0.25">
      <c r="B104" s="19" t="s">
        <v>163</v>
      </c>
      <c r="C104" s="32" t="s">
        <v>168</v>
      </c>
      <c r="D104" s="9">
        <v>0</v>
      </c>
      <c r="E104" s="9">
        <v>50</v>
      </c>
      <c r="F104" s="201"/>
      <c r="G104" s="201"/>
      <c r="H104" s="201"/>
      <c r="I104" s="201"/>
      <c r="J104" s="201"/>
      <c r="K104" s="201"/>
      <c r="L104" s="201"/>
      <c r="M104" s="201"/>
    </row>
    <row r="105" spans="2:13" outlineLevel="1" x14ac:dyDescent="0.25">
      <c r="B105" s="19" t="s">
        <v>164</v>
      </c>
      <c r="C105" s="32" t="s">
        <v>168</v>
      </c>
      <c r="D105" s="9">
        <v>100</v>
      </c>
      <c r="E105" s="9">
        <v>50</v>
      </c>
      <c r="F105" s="201"/>
      <c r="G105" s="201"/>
      <c r="H105" s="201"/>
      <c r="I105" s="201"/>
      <c r="J105" s="201"/>
      <c r="K105" s="201"/>
      <c r="L105" s="201"/>
      <c r="M105" s="201"/>
    </row>
    <row r="106" spans="2:13" x14ac:dyDescent="0.25">
      <c r="B106" s="19" t="s">
        <v>165</v>
      </c>
      <c r="C106" s="32" t="s">
        <v>168</v>
      </c>
      <c r="D106" s="9">
        <v>80</v>
      </c>
      <c r="E106" s="9">
        <v>2</v>
      </c>
      <c r="F106" s="201"/>
      <c r="G106" s="201"/>
      <c r="H106" s="201"/>
      <c r="I106" s="201"/>
      <c r="J106" s="201"/>
      <c r="K106" s="201"/>
      <c r="L106" s="201"/>
      <c r="M106" s="201"/>
    </row>
    <row r="107" spans="2:13" x14ac:dyDescent="0.25">
      <c r="B107" s="19" t="s">
        <v>166</v>
      </c>
      <c r="C107" s="32" t="s">
        <v>168</v>
      </c>
      <c r="D107" s="9">
        <v>60</v>
      </c>
      <c r="E107" s="9">
        <v>2</v>
      </c>
      <c r="F107" s="201"/>
      <c r="G107" s="201"/>
      <c r="H107" s="201"/>
      <c r="I107" s="201"/>
      <c r="J107" s="201"/>
      <c r="K107" s="201"/>
      <c r="L107" s="201"/>
      <c r="M107" s="201"/>
    </row>
    <row r="108" spans="2:13" x14ac:dyDescent="0.25">
      <c r="D108" s="14"/>
    </row>
    <row r="109" spans="2:13" x14ac:dyDescent="0.25">
      <c r="B109" s="217" t="s">
        <v>230</v>
      </c>
      <c r="C109" s="218"/>
      <c r="D109" s="16" t="str">
        <f>"Variant"&amp;" "&amp;$A$12</f>
        <v xml:space="preserve">Variant </v>
      </c>
      <c r="E109" s="16" t="str">
        <f>"Variant"&amp;" "&amp;$A$13</f>
        <v xml:space="preserve">Variant </v>
      </c>
      <c r="F109" s="196" t="s">
        <v>83</v>
      </c>
      <c r="G109" s="196"/>
      <c r="H109" s="196"/>
      <c r="I109" s="196"/>
      <c r="J109" s="196"/>
      <c r="K109" s="196"/>
      <c r="L109" s="196"/>
      <c r="M109" s="196"/>
    </row>
    <row r="110" spans="2:13" x14ac:dyDescent="0.25">
      <c r="B110" s="202" t="s">
        <v>231</v>
      </c>
      <c r="C110" s="204"/>
      <c r="D110" s="39"/>
      <c r="E110" s="39"/>
      <c r="F110" s="201"/>
      <c r="G110" s="201"/>
      <c r="H110" s="201"/>
      <c r="I110" s="201"/>
      <c r="J110" s="201"/>
      <c r="K110" s="201"/>
      <c r="L110" s="201"/>
      <c r="M110" s="201"/>
    </row>
    <row r="111" spans="2:13" ht="14.45" customHeight="1" x14ac:dyDescent="0.25">
      <c r="B111" s="122" t="s">
        <v>232</v>
      </c>
      <c r="C111" s="55"/>
      <c r="D111" s="39" t="s">
        <v>133</v>
      </c>
      <c r="E111" s="39" t="s">
        <v>133</v>
      </c>
      <c r="F111" s="201" t="s">
        <v>233</v>
      </c>
      <c r="G111" s="201"/>
      <c r="H111" s="201"/>
      <c r="I111" s="201"/>
      <c r="J111" s="201"/>
      <c r="K111" s="201"/>
      <c r="L111" s="201"/>
      <c r="M111" s="201"/>
    </row>
    <row r="112" spans="2:13" ht="14.45" customHeight="1" x14ac:dyDescent="0.25">
      <c r="B112" s="122" t="s">
        <v>234</v>
      </c>
      <c r="C112" s="55"/>
      <c r="D112" s="39" t="s">
        <v>133</v>
      </c>
      <c r="E112" s="39" t="s">
        <v>133</v>
      </c>
      <c r="F112" s="201" t="s">
        <v>235</v>
      </c>
      <c r="G112" s="201"/>
      <c r="H112" s="201"/>
      <c r="I112" s="201"/>
      <c r="J112" s="201"/>
      <c r="K112" s="201"/>
      <c r="L112" s="201"/>
      <c r="M112" s="201"/>
    </row>
    <row r="113" spans="2:13" ht="14.45" customHeight="1" x14ac:dyDescent="0.25">
      <c r="B113" s="122" t="s">
        <v>236</v>
      </c>
      <c r="C113" s="55"/>
      <c r="D113" s="39" t="s">
        <v>133</v>
      </c>
      <c r="E113" s="39" t="s">
        <v>133</v>
      </c>
      <c r="F113" s="201" t="s">
        <v>237</v>
      </c>
      <c r="G113" s="201"/>
      <c r="H113" s="201"/>
      <c r="I113" s="201"/>
      <c r="J113" s="201"/>
      <c r="K113" s="201"/>
      <c r="L113" s="201"/>
      <c r="M113" s="201"/>
    </row>
    <row r="114" spans="2:13" x14ac:dyDescent="0.25">
      <c r="B114" s="202" t="s">
        <v>238</v>
      </c>
      <c r="C114" s="204"/>
      <c r="D114" s="39"/>
      <c r="E114" s="39"/>
      <c r="F114" s="201"/>
      <c r="G114" s="201"/>
      <c r="H114" s="201"/>
      <c r="I114" s="201"/>
      <c r="J114" s="201"/>
      <c r="K114" s="201"/>
      <c r="L114" s="201"/>
      <c r="M114" s="201"/>
    </row>
    <row r="115" spans="2:13" x14ac:dyDescent="0.25">
      <c r="B115" s="122" t="s">
        <v>232</v>
      </c>
      <c r="C115" s="121" t="s">
        <v>85</v>
      </c>
      <c r="D115" s="170"/>
      <c r="E115" s="170"/>
      <c r="F115" s="201"/>
      <c r="G115" s="201"/>
      <c r="H115" s="201"/>
      <c r="I115" s="201"/>
      <c r="J115" s="201"/>
      <c r="K115" s="201"/>
      <c r="L115" s="201"/>
      <c r="M115" s="201"/>
    </row>
    <row r="116" spans="2:13" x14ac:dyDescent="0.25">
      <c r="B116" s="122" t="s">
        <v>234</v>
      </c>
      <c r="C116" s="121" t="s">
        <v>85</v>
      </c>
      <c r="D116" s="170"/>
      <c r="E116" s="170"/>
      <c r="F116" s="201"/>
      <c r="G116" s="201"/>
      <c r="H116" s="201"/>
      <c r="I116" s="201"/>
      <c r="J116" s="201"/>
      <c r="K116" s="201"/>
      <c r="L116" s="201"/>
      <c r="M116" s="201"/>
    </row>
    <row r="117" spans="2:13" x14ac:dyDescent="0.25">
      <c r="B117" s="122" t="s">
        <v>236</v>
      </c>
      <c r="C117" s="121" t="s">
        <v>85</v>
      </c>
      <c r="D117" s="170"/>
      <c r="E117" s="170"/>
      <c r="F117" s="201"/>
      <c r="G117" s="201"/>
      <c r="H117" s="201"/>
      <c r="I117" s="201"/>
      <c r="J117" s="201"/>
      <c r="K117" s="201"/>
      <c r="L117" s="201"/>
      <c r="M117" s="201"/>
    </row>
    <row r="118" spans="2:13" x14ac:dyDescent="0.25">
      <c r="F118" s="123"/>
      <c r="G118" s="123"/>
      <c r="H118" s="123"/>
      <c r="I118" s="123"/>
      <c r="J118" s="123"/>
      <c r="K118" s="123"/>
    </row>
    <row r="119" spans="2:13" x14ac:dyDescent="0.25">
      <c r="B119" s="217" t="s">
        <v>239</v>
      </c>
      <c r="C119" s="218"/>
      <c r="D119" s="16" t="str">
        <f>"Variant"&amp;" "&amp;$A$12</f>
        <v xml:space="preserve">Variant </v>
      </c>
      <c r="E119" s="16" t="str">
        <f>"Variant"&amp;" "&amp;$A$13</f>
        <v xml:space="preserve">Variant </v>
      </c>
      <c r="F119" s="196" t="s">
        <v>83</v>
      </c>
      <c r="G119" s="196"/>
      <c r="H119" s="196"/>
      <c r="I119" s="196"/>
      <c r="J119" s="196"/>
      <c r="K119" s="196"/>
      <c r="L119" s="196"/>
      <c r="M119" s="196"/>
    </row>
    <row r="120" spans="2:13" x14ac:dyDescent="0.25">
      <c r="B120" s="202" t="s">
        <v>240</v>
      </c>
      <c r="C120" s="204"/>
      <c r="D120" s="39"/>
      <c r="E120" s="39"/>
      <c r="F120" s="201"/>
      <c r="G120" s="201"/>
      <c r="H120" s="201"/>
      <c r="I120" s="201"/>
      <c r="J120" s="201"/>
      <c r="K120" s="201"/>
      <c r="L120" s="201"/>
      <c r="M120" s="201"/>
    </row>
    <row r="121" spans="2:13" ht="14.45" customHeight="1" x14ac:dyDescent="0.25">
      <c r="B121" s="122" t="s">
        <v>232</v>
      </c>
      <c r="C121" s="55"/>
      <c r="D121" s="39" t="s">
        <v>134</v>
      </c>
      <c r="E121" s="39" t="s">
        <v>134</v>
      </c>
      <c r="F121" s="201" t="s">
        <v>241</v>
      </c>
      <c r="G121" s="201"/>
      <c r="H121" s="201"/>
      <c r="I121" s="201"/>
      <c r="J121" s="201"/>
      <c r="K121" s="201"/>
      <c r="L121" s="201"/>
      <c r="M121" s="201"/>
    </row>
    <row r="122" spans="2:13" ht="14.45" customHeight="1" x14ac:dyDescent="0.25">
      <c r="B122" s="122" t="s">
        <v>234</v>
      </c>
      <c r="C122" s="55"/>
      <c r="D122" s="39" t="s">
        <v>133</v>
      </c>
      <c r="E122" s="39" t="s">
        <v>133</v>
      </c>
      <c r="F122" s="201" t="s">
        <v>241</v>
      </c>
      <c r="G122" s="201"/>
      <c r="H122" s="201"/>
      <c r="I122" s="201"/>
      <c r="J122" s="201"/>
      <c r="K122" s="201"/>
      <c r="L122" s="201"/>
      <c r="M122" s="201"/>
    </row>
    <row r="123" spans="2:13" ht="14.45" customHeight="1" x14ac:dyDescent="0.25">
      <c r="B123" s="122" t="s">
        <v>236</v>
      </c>
      <c r="C123" s="55"/>
      <c r="D123" s="39" t="s">
        <v>133</v>
      </c>
      <c r="E123" s="39" t="s">
        <v>133</v>
      </c>
      <c r="F123" s="201" t="s">
        <v>241</v>
      </c>
      <c r="G123" s="201"/>
      <c r="H123" s="201"/>
      <c r="I123" s="201"/>
      <c r="J123" s="201"/>
      <c r="K123" s="201"/>
      <c r="L123" s="201"/>
      <c r="M123" s="201"/>
    </row>
    <row r="124" spans="2:13" x14ac:dyDescent="0.25">
      <c r="B124" s="202" t="s">
        <v>242</v>
      </c>
      <c r="C124" s="204"/>
      <c r="D124" s="15"/>
      <c r="E124" s="15"/>
      <c r="F124" s="201"/>
      <c r="G124" s="201"/>
      <c r="H124" s="201"/>
      <c r="I124" s="201"/>
      <c r="J124" s="201"/>
      <c r="K124" s="201"/>
      <c r="L124" s="201"/>
      <c r="M124" s="201"/>
    </row>
    <row r="125" spans="2:13" ht="14.45" customHeight="1" x14ac:dyDescent="0.25">
      <c r="B125" s="122" t="s">
        <v>232</v>
      </c>
      <c r="C125" s="121" t="s">
        <v>243</v>
      </c>
      <c r="D125" s="52">
        <v>1.8</v>
      </c>
      <c r="E125" s="52">
        <v>1.8</v>
      </c>
      <c r="F125" s="201" t="s">
        <v>244</v>
      </c>
      <c r="G125" s="201"/>
      <c r="H125" s="201"/>
      <c r="I125" s="201"/>
      <c r="J125" s="201"/>
      <c r="K125" s="201"/>
      <c r="L125" s="201"/>
      <c r="M125" s="201"/>
    </row>
    <row r="126" spans="2:13" x14ac:dyDescent="0.25">
      <c r="B126" s="122" t="s">
        <v>234</v>
      </c>
      <c r="C126" s="121" t="s">
        <v>243</v>
      </c>
      <c r="D126" s="171"/>
      <c r="E126" s="171"/>
      <c r="F126" s="201"/>
      <c r="G126" s="201"/>
      <c r="H126" s="201"/>
      <c r="I126" s="201"/>
      <c r="J126" s="201"/>
      <c r="K126" s="201"/>
      <c r="L126" s="201"/>
      <c r="M126" s="201"/>
    </row>
    <row r="127" spans="2:13" x14ac:dyDescent="0.25">
      <c r="B127" s="122" t="s">
        <v>236</v>
      </c>
      <c r="C127" s="121" t="s">
        <v>243</v>
      </c>
      <c r="D127" s="171"/>
      <c r="E127" s="171"/>
      <c r="F127" s="201"/>
      <c r="G127" s="201"/>
      <c r="H127" s="201"/>
      <c r="I127" s="201"/>
      <c r="J127" s="201"/>
      <c r="K127" s="201"/>
      <c r="L127" s="201"/>
      <c r="M127" s="201"/>
    </row>
    <row r="128" spans="2:13" x14ac:dyDescent="0.25">
      <c r="D128" s="14"/>
    </row>
    <row r="129" spans="1:21" ht="30" x14ac:dyDescent="0.25">
      <c r="A129" s="20"/>
      <c r="B129" s="7" t="s">
        <v>170</v>
      </c>
      <c r="C129" s="101" t="s">
        <v>80</v>
      </c>
      <c r="D129" s="16" t="str">
        <f>"Variant"&amp;" "&amp;$A$17</f>
        <v>Variant 2a</v>
      </c>
      <c r="E129" s="16" t="str">
        <f>"Variant"&amp;" "&amp;$A$18</f>
        <v>Variant 2b</v>
      </c>
      <c r="F129" s="196" t="s">
        <v>83</v>
      </c>
      <c r="G129" s="196"/>
      <c r="H129" s="196"/>
      <c r="I129" s="196"/>
      <c r="J129" s="196"/>
      <c r="K129" s="196"/>
      <c r="L129" s="196"/>
      <c r="M129" s="196"/>
      <c r="P129" s="124"/>
    </row>
    <row r="130" spans="1:21" ht="14.45" customHeight="1" x14ac:dyDescent="0.25">
      <c r="B130" s="19" t="s">
        <v>160</v>
      </c>
      <c r="C130" s="121" t="s">
        <v>85</v>
      </c>
      <c r="D130" s="17">
        <f>D96*D103</f>
        <v>0</v>
      </c>
      <c r="E130" s="17">
        <f>E96*E103</f>
        <v>0</v>
      </c>
      <c r="F130" s="201" t="s">
        <v>456</v>
      </c>
      <c r="G130" s="201"/>
      <c r="H130" s="201"/>
      <c r="I130" s="201"/>
      <c r="J130" s="201"/>
      <c r="K130" s="201"/>
      <c r="L130" s="201"/>
      <c r="M130" s="201"/>
      <c r="P130" s="219"/>
      <c r="Q130" s="219"/>
      <c r="R130" s="219"/>
      <c r="S130" s="219"/>
      <c r="T130" s="219"/>
      <c r="U130" s="219"/>
    </row>
    <row r="131" spans="1:21" ht="14.45" customHeight="1" x14ac:dyDescent="0.25">
      <c r="B131" s="19" t="s">
        <v>163</v>
      </c>
      <c r="C131" s="121" t="s">
        <v>85</v>
      </c>
      <c r="D131" s="17">
        <f>D97*D104</f>
        <v>0</v>
      </c>
      <c r="E131" s="17">
        <f>E97*E104</f>
        <v>26500</v>
      </c>
      <c r="F131" s="201"/>
      <c r="G131" s="201"/>
      <c r="H131" s="201"/>
      <c r="I131" s="201"/>
      <c r="J131" s="201"/>
      <c r="K131" s="201"/>
      <c r="L131" s="201"/>
      <c r="M131" s="201"/>
      <c r="P131" s="219"/>
      <c r="Q131" s="219"/>
      <c r="R131" s="219"/>
      <c r="S131" s="219"/>
      <c r="T131" s="219"/>
      <c r="U131" s="219"/>
    </row>
    <row r="132" spans="1:21" ht="14.45" customHeight="1" x14ac:dyDescent="0.25">
      <c r="B132" s="19" t="s">
        <v>164</v>
      </c>
      <c r="C132" s="121" t="s">
        <v>85</v>
      </c>
      <c r="D132" s="17">
        <f>IF(D111="Yes",D115,IF(D121="Yes",D125*D98*D105,D98*D105))</f>
        <v>15300</v>
      </c>
      <c r="E132" s="17">
        <f>IF(E111="Yes",E115,IF(E121="Yes",E125*E98*E105,E98*E105))</f>
        <v>7650</v>
      </c>
      <c r="F132" s="201"/>
      <c r="G132" s="201"/>
      <c r="H132" s="201"/>
      <c r="I132" s="201"/>
      <c r="J132" s="201"/>
      <c r="K132" s="201"/>
      <c r="L132" s="201"/>
      <c r="M132" s="201"/>
      <c r="P132" s="219"/>
      <c r="Q132" s="219"/>
      <c r="R132" s="219"/>
      <c r="S132" s="219"/>
      <c r="T132" s="219"/>
      <c r="U132" s="219"/>
    </row>
    <row r="133" spans="1:21" x14ac:dyDescent="0.25">
      <c r="B133" s="19" t="s">
        <v>165</v>
      </c>
      <c r="C133" s="121" t="s">
        <v>85</v>
      </c>
      <c r="D133" s="17">
        <f t="shared" ref="D133:E134" si="0">IF(D112="Yes",D116,IF(D122="Yes",D126*D99*D106,D99*D106))</f>
        <v>30400</v>
      </c>
      <c r="E133" s="17">
        <f t="shared" si="0"/>
        <v>760</v>
      </c>
      <c r="F133" s="201"/>
      <c r="G133" s="201"/>
      <c r="H133" s="201"/>
      <c r="I133" s="201"/>
      <c r="J133" s="201"/>
      <c r="K133" s="201"/>
      <c r="L133" s="201"/>
      <c r="M133" s="201"/>
      <c r="P133" s="219"/>
      <c r="Q133" s="219"/>
      <c r="R133" s="219"/>
      <c r="S133" s="219"/>
      <c r="T133" s="219"/>
      <c r="U133" s="219"/>
    </row>
    <row r="134" spans="1:21" x14ac:dyDescent="0.25">
      <c r="B134" s="19" t="s">
        <v>166</v>
      </c>
      <c r="C134" s="121" t="s">
        <v>85</v>
      </c>
      <c r="D134" s="17">
        <f t="shared" si="0"/>
        <v>6000</v>
      </c>
      <c r="E134" s="17">
        <f t="shared" si="0"/>
        <v>200</v>
      </c>
      <c r="F134" s="201"/>
      <c r="G134" s="201"/>
      <c r="H134" s="201"/>
      <c r="I134" s="201"/>
      <c r="J134" s="201"/>
      <c r="K134" s="201"/>
      <c r="L134" s="201"/>
      <c r="M134" s="201"/>
      <c r="P134" s="219"/>
      <c r="Q134" s="219"/>
      <c r="R134" s="219"/>
      <c r="S134" s="219"/>
      <c r="T134" s="219"/>
      <c r="U134" s="219"/>
    </row>
    <row r="135" spans="1:21" ht="30.75" thickBot="1" x14ac:dyDescent="0.3">
      <c r="B135" s="56" t="s">
        <v>172</v>
      </c>
      <c r="C135" s="43" t="s">
        <v>85</v>
      </c>
      <c r="D135" s="51">
        <f>SUM(D130:D134)</f>
        <v>51700</v>
      </c>
      <c r="E135" s="51">
        <f t="shared" ref="E135" si="1">SUM(E130:E134)</f>
        <v>35110</v>
      </c>
    </row>
    <row r="136" spans="1:21" ht="15.75" thickTop="1" x14ac:dyDescent="0.25">
      <c r="D136" s="14"/>
    </row>
    <row r="137" spans="1:21" s="8" customFormat="1" ht="15.75" outlineLevel="1" thickBot="1" x14ac:dyDescent="0.3">
      <c r="A137" s="8" t="s">
        <v>173</v>
      </c>
    </row>
    <row r="138" spans="1:21" outlineLevel="2" x14ac:dyDescent="0.25">
      <c r="B138" s="34"/>
      <c r="C138" s="4"/>
      <c r="D138" s="47"/>
      <c r="E138" s="47"/>
      <c r="F138" s="47"/>
      <c r="G138" s="47"/>
      <c r="H138" s="47"/>
      <c r="I138" s="47"/>
      <c r="J138" s="47"/>
    </row>
    <row r="139" spans="1:21" ht="28.9" customHeight="1" outlineLevel="2" x14ac:dyDescent="0.25">
      <c r="B139" s="21" t="s">
        <v>173</v>
      </c>
      <c r="C139" s="31" t="s">
        <v>80</v>
      </c>
      <c r="D139" s="16" t="str">
        <f>"Variant"&amp;" "&amp;$A$17</f>
        <v>Variant 2a</v>
      </c>
      <c r="E139" s="16" t="str">
        <f>"Variant"&amp;" "&amp;$A$18</f>
        <v>Variant 2b</v>
      </c>
      <c r="F139" s="196" t="s">
        <v>83</v>
      </c>
      <c r="G139" s="196"/>
      <c r="H139" s="196"/>
      <c r="I139" s="196"/>
      <c r="J139" s="196"/>
      <c r="K139" s="196"/>
      <c r="L139" s="196"/>
      <c r="M139" s="196"/>
    </row>
    <row r="140" spans="1:21" ht="28.9" customHeight="1" outlineLevel="2" x14ac:dyDescent="0.25">
      <c r="B140" s="66" t="s">
        <v>174</v>
      </c>
      <c r="C140" s="31" t="s">
        <v>85</v>
      </c>
      <c r="D140" s="9">
        <v>164170</v>
      </c>
      <c r="E140" s="9">
        <v>25580</v>
      </c>
      <c r="F140" s="201" t="s">
        <v>457</v>
      </c>
      <c r="G140" s="201"/>
      <c r="H140" s="201"/>
      <c r="I140" s="201"/>
      <c r="J140" s="201"/>
      <c r="K140" s="201"/>
      <c r="L140" s="201"/>
      <c r="M140" s="201"/>
    </row>
    <row r="141" spans="1:21" outlineLevel="2" x14ac:dyDescent="0.25"/>
    <row r="142" spans="1:21" s="151" customFormat="1" ht="18" thickBot="1" x14ac:dyDescent="0.35">
      <c r="A142" s="151" t="s">
        <v>245</v>
      </c>
    </row>
    <row r="143" spans="1:21" ht="15.75" outlineLevel="1" thickTop="1" x14ac:dyDescent="0.25">
      <c r="B143" s="4"/>
      <c r="F143" s="161"/>
      <c r="G143" s="161"/>
      <c r="H143" s="161"/>
      <c r="I143" s="161"/>
      <c r="J143" s="161"/>
      <c r="K143" s="161"/>
    </row>
    <row r="144" spans="1:21" outlineLevel="1" x14ac:dyDescent="0.25">
      <c r="A144" s="11" t="s">
        <v>177</v>
      </c>
      <c r="B144" s="4"/>
      <c r="F144" s="161"/>
      <c r="G144" s="161"/>
      <c r="H144" s="161"/>
      <c r="I144" s="161"/>
      <c r="J144" s="161"/>
      <c r="K144" s="161"/>
    </row>
    <row r="145" spans="1:13" outlineLevel="1" x14ac:dyDescent="0.25">
      <c r="B145" s="4"/>
      <c r="F145" s="161"/>
      <c r="G145" s="161"/>
      <c r="H145" s="161"/>
      <c r="I145" s="161"/>
      <c r="J145" s="161"/>
      <c r="K145" s="161"/>
    </row>
    <row r="146" spans="1:13" ht="28.9" customHeight="1" outlineLevel="2" x14ac:dyDescent="0.25">
      <c r="B146" s="21" t="s">
        <v>178</v>
      </c>
      <c r="C146" s="31" t="s">
        <v>80</v>
      </c>
      <c r="D146" s="16" t="str">
        <f>"Variant"&amp;" "&amp;$A$17</f>
        <v>Variant 2a</v>
      </c>
      <c r="E146" s="16" t="str">
        <f>"Variant"&amp;" "&amp;$A$18</f>
        <v>Variant 2b</v>
      </c>
      <c r="F146" s="196" t="s">
        <v>83</v>
      </c>
      <c r="G146" s="196"/>
      <c r="H146" s="196"/>
      <c r="I146" s="196"/>
      <c r="J146" s="196"/>
      <c r="K146" s="196"/>
      <c r="L146" s="196"/>
      <c r="M146" s="196"/>
    </row>
    <row r="147" spans="1:13" outlineLevel="2" x14ac:dyDescent="0.25">
      <c r="B147" s="19"/>
      <c r="C147" s="32" t="s">
        <v>85</v>
      </c>
      <c r="D147" s="9"/>
      <c r="E147" s="9"/>
      <c r="F147" s="201"/>
      <c r="G147" s="201"/>
      <c r="H147" s="201"/>
      <c r="I147" s="201"/>
      <c r="J147" s="201"/>
      <c r="K147" s="201"/>
      <c r="L147" s="201"/>
      <c r="M147" s="201"/>
    </row>
    <row r="148" spans="1:13" outlineLevel="2" x14ac:dyDescent="0.25">
      <c r="B148" s="19"/>
      <c r="C148" s="32" t="s">
        <v>85</v>
      </c>
      <c r="D148" s="9"/>
      <c r="E148" s="9"/>
      <c r="F148" s="201"/>
      <c r="G148" s="201"/>
      <c r="H148" s="201"/>
      <c r="I148" s="201"/>
      <c r="J148" s="201"/>
      <c r="K148" s="201"/>
      <c r="L148" s="201"/>
      <c r="M148" s="201"/>
    </row>
    <row r="149" spans="1:13" ht="15.75" outlineLevel="2" thickBot="1" x14ac:dyDescent="0.3">
      <c r="A149" s="10"/>
      <c r="B149" s="50" t="s">
        <v>183</v>
      </c>
      <c r="C149" s="49" t="s">
        <v>85</v>
      </c>
      <c r="D149" s="51">
        <f>SUM(D147:D148)</f>
        <v>0</v>
      </c>
      <c r="E149" s="51">
        <f>SUM(E147:E148)</f>
        <v>0</v>
      </c>
      <c r="F149" s="30"/>
    </row>
    <row r="150" spans="1:13" ht="15.75" outlineLevel="2" thickTop="1" x14ac:dyDescent="0.25"/>
    <row r="151" spans="1:13" outlineLevel="1" x14ac:dyDescent="0.25">
      <c r="A151" s="11" t="s">
        <v>184</v>
      </c>
      <c r="B151" s="4"/>
      <c r="F151" s="161"/>
      <c r="G151" s="161"/>
      <c r="H151" s="161"/>
      <c r="I151" s="161"/>
      <c r="J151" s="161"/>
      <c r="K151" s="161"/>
    </row>
    <row r="152" spans="1:13" outlineLevel="1" x14ac:dyDescent="0.25">
      <c r="A152" s="11"/>
      <c r="B152" s="4"/>
      <c r="F152" s="161"/>
      <c r="G152" s="161"/>
      <c r="H152" s="161"/>
      <c r="I152" s="161"/>
      <c r="J152" s="161"/>
      <c r="K152" s="161"/>
    </row>
    <row r="153" spans="1:13" outlineLevel="1" x14ac:dyDescent="0.25">
      <c r="C153" s="31" t="s">
        <v>80</v>
      </c>
      <c r="D153" s="16" t="str">
        <f>"Variant"&amp;" "&amp;$A$17</f>
        <v>Variant 2a</v>
      </c>
      <c r="E153" s="16" t="str">
        <f>"Variant"&amp;" "&amp;$A$18</f>
        <v>Variant 2b</v>
      </c>
      <c r="F153" s="196" t="s">
        <v>83</v>
      </c>
      <c r="G153" s="196"/>
      <c r="H153" s="196"/>
      <c r="I153" s="196"/>
      <c r="J153" s="196"/>
      <c r="K153" s="196"/>
      <c r="L153" s="196"/>
      <c r="M153" s="196"/>
    </row>
    <row r="154" spans="1:13" ht="14.45" customHeight="1" outlineLevel="1" x14ac:dyDescent="0.25">
      <c r="B154" s="31" t="s">
        <v>154</v>
      </c>
      <c r="C154" s="32" t="s">
        <v>155</v>
      </c>
      <c r="D154" s="167" t="str">
        <f>D93</f>
        <v>Rural B</v>
      </c>
      <c r="E154" s="167" t="str">
        <f>E93</f>
        <v>Rural B</v>
      </c>
      <c r="F154" s="201" t="s">
        <v>185</v>
      </c>
      <c r="G154" s="201"/>
      <c r="H154" s="201"/>
      <c r="I154" s="201"/>
      <c r="J154" s="201"/>
      <c r="K154" s="201"/>
      <c r="L154" s="201"/>
      <c r="M154" s="201"/>
    </row>
    <row r="155" spans="1:13" outlineLevel="1" x14ac:dyDescent="0.25"/>
    <row r="156" spans="1:13" outlineLevel="1" x14ac:dyDescent="0.25">
      <c r="B156" s="31" t="s">
        <v>159</v>
      </c>
      <c r="C156" s="31" t="s">
        <v>80</v>
      </c>
      <c r="D156" s="16" t="str">
        <f>"Variant"&amp;" "&amp;$A$17</f>
        <v>Variant 2a</v>
      </c>
      <c r="E156" s="16" t="str">
        <f>"Variant"&amp;" "&amp;$A$18</f>
        <v>Variant 2b</v>
      </c>
      <c r="F156" s="196" t="s">
        <v>83</v>
      </c>
      <c r="G156" s="196"/>
      <c r="H156" s="196"/>
      <c r="I156" s="196"/>
      <c r="J156" s="196"/>
      <c r="K156" s="196"/>
      <c r="L156" s="196"/>
      <c r="M156" s="196"/>
    </row>
    <row r="157" spans="1:13" ht="14.45" customHeight="1" outlineLevel="1" x14ac:dyDescent="0.25">
      <c r="B157" s="19" t="s">
        <v>160</v>
      </c>
      <c r="C157" s="32" t="s">
        <v>161</v>
      </c>
      <c r="D157" s="15">
        <f>IF(D$154="","",_xlfn.XLOOKUP(D$154,'Network costing zones'!$D$4:$F$4,'Network costing zones'!$D5:$F5,"error"))</f>
        <v>170</v>
      </c>
      <c r="E157" s="15">
        <f>IF(E$154="","",_xlfn.XLOOKUP(E$154,'Network costing zones'!$D$4:$F$4,'Network costing zones'!$D5:$F5,"error"))</f>
        <v>170</v>
      </c>
      <c r="F157" s="201" t="s">
        <v>162</v>
      </c>
      <c r="G157" s="201"/>
      <c r="H157" s="201"/>
      <c r="I157" s="201"/>
      <c r="J157" s="201"/>
      <c r="K157" s="201"/>
      <c r="L157" s="201"/>
      <c r="M157" s="201"/>
    </row>
    <row r="158" spans="1:13" outlineLevel="1" x14ac:dyDescent="0.25">
      <c r="B158" s="19" t="s">
        <v>163</v>
      </c>
      <c r="C158" s="32" t="s">
        <v>161</v>
      </c>
      <c r="D158" s="15">
        <f>IF(D$154="","",_xlfn.XLOOKUP(D$154,'Network costing zones'!$D$4:$F$4,'Network costing zones'!$D6:$F6,"error"))</f>
        <v>530</v>
      </c>
      <c r="E158" s="15">
        <f>IF(E$154="","",_xlfn.XLOOKUP(E$154,'Network costing zones'!$D$4:$F$4,'Network costing zones'!$D6:$F6,"error"))</f>
        <v>530</v>
      </c>
      <c r="F158" s="201"/>
      <c r="G158" s="201"/>
      <c r="H158" s="201"/>
      <c r="I158" s="201"/>
      <c r="J158" s="201"/>
      <c r="K158" s="201"/>
      <c r="L158" s="201"/>
      <c r="M158" s="201"/>
    </row>
    <row r="159" spans="1:13" outlineLevel="1" x14ac:dyDescent="0.25">
      <c r="B159" s="19" t="s">
        <v>164</v>
      </c>
      <c r="C159" s="32" t="s">
        <v>161</v>
      </c>
      <c r="D159" s="15">
        <f>IF(D$154="","",_xlfn.XLOOKUP(D$154,'Network costing zones'!$D$4:$F$4,'Network costing zones'!$D7:$F7,"error"))</f>
        <v>85</v>
      </c>
      <c r="E159" s="15">
        <f>IF(E$154="","",_xlfn.XLOOKUP(E$154,'Network costing zones'!$D$4:$F$4,'Network costing zones'!$D7:$F7,"error"))</f>
        <v>85</v>
      </c>
      <c r="F159" s="201"/>
      <c r="G159" s="201"/>
      <c r="H159" s="201"/>
      <c r="I159" s="201"/>
      <c r="J159" s="201"/>
      <c r="K159" s="201"/>
      <c r="L159" s="201"/>
      <c r="M159" s="201"/>
    </row>
    <row r="160" spans="1:13" outlineLevel="1" x14ac:dyDescent="0.25">
      <c r="B160" s="19" t="s">
        <v>165</v>
      </c>
      <c r="C160" s="32" t="s">
        <v>161</v>
      </c>
      <c r="D160" s="15">
        <f>IF(D$154="","",_xlfn.XLOOKUP(D$154,'Network costing zones'!$D$4:$F$4,'Network costing zones'!$D8:$F8,"error"))</f>
        <v>380</v>
      </c>
      <c r="E160" s="15">
        <f>IF(E$154="","",_xlfn.XLOOKUP(E$154,'Network costing zones'!$D$4:$F$4,'Network costing zones'!$D8:$F8,"error"))</f>
        <v>380</v>
      </c>
      <c r="F160" s="201"/>
      <c r="G160" s="201"/>
      <c r="H160" s="201"/>
      <c r="I160" s="201"/>
      <c r="J160" s="201"/>
      <c r="K160" s="201"/>
      <c r="L160" s="201"/>
      <c r="M160" s="201"/>
    </row>
    <row r="161" spans="2:13" outlineLevel="1" x14ac:dyDescent="0.25">
      <c r="B161" s="19" t="s">
        <v>166</v>
      </c>
      <c r="C161" s="32" t="s">
        <v>161</v>
      </c>
      <c r="D161" s="15">
        <f>IF(D$154="","",_xlfn.XLOOKUP(D$154,'Network costing zones'!$D$4:$F$4,'Network costing zones'!$D9:$F9,"error"))</f>
        <v>100</v>
      </c>
      <c r="E161" s="15">
        <f>IF(E$154="","",_xlfn.XLOOKUP(E$154,'Network costing zones'!$D$4:$F$4,'Network costing zones'!$D9:$F9,"error"))</f>
        <v>100</v>
      </c>
      <c r="F161" s="201"/>
      <c r="G161" s="201"/>
      <c r="H161" s="201"/>
      <c r="I161" s="201"/>
      <c r="J161" s="201"/>
      <c r="K161" s="201"/>
      <c r="L161" s="201"/>
      <c r="M161" s="201"/>
    </row>
    <row r="162" spans="2:13" outlineLevel="1" x14ac:dyDescent="0.25"/>
    <row r="163" spans="2:13" ht="30" x14ac:dyDescent="0.25">
      <c r="B163" s="7" t="s">
        <v>186</v>
      </c>
      <c r="C163" s="31" t="s">
        <v>80</v>
      </c>
      <c r="D163" s="16" t="str">
        <f>"Variant"&amp;" "&amp;$A$17</f>
        <v>Variant 2a</v>
      </c>
      <c r="E163" s="16" t="str">
        <f>"Variant"&amp;" "&amp;$A$18</f>
        <v>Variant 2b</v>
      </c>
      <c r="F163" s="196" t="s">
        <v>83</v>
      </c>
      <c r="G163" s="196"/>
      <c r="H163" s="196"/>
      <c r="I163" s="196"/>
      <c r="J163" s="196"/>
      <c r="K163" s="196"/>
      <c r="L163" s="196"/>
      <c r="M163" s="196"/>
    </row>
    <row r="164" spans="2:13" ht="14.45" customHeight="1" x14ac:dyDescent="0.25">
      <c r="B164" s="19" t="s">
        <v>160</v>
      </c>
      <c r="C164" s="32" t="s">
        <v>168</v>
      </c>
      <c r="D164" s="118"/>
      <c r="E164" s="118"/>
      <c r="F164" s="201" t="s">
        <v>187</v>
      </c>
      <c r="G164" s="201"/>
      <c r="H164" s="201"/>
      <c r="I164" s="201"/>
      <c r="J164" s="201"/>
      <c r="K164" s="201"/>
      <c r="L164" s="201"/>
      <c r="M164" s="201"/>
    </row>
    <row r="165" spans="2:13" x14ac:dyDescent="0.25">
      <c r="B165" s="19" t="s">
        <v>163</v>
      </c>
      <c r="C165" s="32" t="s">
        <v>168</v>
      </c>
      <c r="D165" s="118"/>
      <c r="E165" s="118"/>
      <c r="F165" s="201"/>
      <c r="G165" s="201"/>
      <c r="H165" s="201"/>
      <c r="I165" s="201"/>
      <c r="J165" s="201"/>
      <c r="K165" s="201"/>
      <c r="L165" s="201"/>
      <c r="M165" s="201"/>
    </row>
    <row r="166" spans="2:13" x14ac:dyDescent="0.25">
      <c r="B166" s="19" t="s">
        <v>164</v>
      </c>
      <c r="C166" s="32" t="s">
        <v>168</v>
      </c>
      <c r="D166" s="118"/>
      <c r="E166" s="118"/>
      <c r="F166" s="201"/>
      <c r="G166" s="201"/>
      <c r="H166" s="201"/>
      <c r="I166" s="201"/>
      <c r="J166" s="201"/>
      <c r="K166" s="201"/>
      <c r="L166" s="201"/>
      <c r="M166" s="201"/>
    </row>
    <row r="167" spans="2:13" x14ac:dyDescent="0.25">
      <c r="B167" s="19" t="s">
        <v>165</v>
      </c>
      <c r="C167" s="32" t="s">
        <v>168</v>
      </c>
      <c r="D167" s="118"/>
      <c r="E167" s="118"/>
      <c r="F167" s="201"/>
      <c r="G167" s="201"/>
      <c r="H167" s="201"/>
      <c r="I167" s="201"/>
      <c r="J167" s="201"/>
      <c r="K167" s="201"/>
      <c r="L167" s="201"/>
      <c r="M167" s="201"/>
    </row>
    <row r="168" spans="2:13" x14ac:dyDescent="0.25">
      <c r="B168" s="19" t="s">
        <v>166</v>
      </c>
      <c r="C168" s="32" t="s">
        <v>168</v>
      </c>
      <c r="D168" s="118"/>
      <c r="E168" s="118"/>
      <c r="F168" s="201"/>
      <c r="G168" s="201"/>
      <c r="H168" s="201"/>
      <c r="I168" s="201"/>
      <c r="J168" s="201"/>
      <c r="K168" s="201"/>
      <c r="L168" s="201"/>
      <c r="M168" s="201"/>
    </row>
    <row r="169" spans="2:13" x14ac:dyDescent="0.25">
      <c r="D169" s="14"/>
    </row>
    <row r="170" spans="2:13" x14ac:dyDescent="0.25">
      <c r="B170" s="7" t="s">
        <v>188</v>
      </c>
      <c r="C170" s="101" t="s">
        <v>80</v>
      </c>
      <c r="D170" s="16" t="str">
        <f>"Variant"&amp;" "&amp;$A$17</f>
        <v>Variant 2a</v>
      </c>
      <c r="E170" s="16" t="str">
        <f>"Variant"&amp;" "&amp;$A$18</f>
        <v>Variant 2b</v>
      </c>
      <c r="F170" s="196" t="s">
        <v>83</v>
      </c>
      <c r="G170" s="196"/>
      <c r="H170" s="196"/>
      <c r="I170" s="196"/>
      <c r="J170" s="196"/>
      <c r="K170" s="196"/>
      <c r="L170" s="196"/>
      <c r="M170" s="196"/>
    </row>
    <row r="171" spans="2:13" ht="14.45" customHeight="1" x14ac:dyDescent="0.25">
      <c r="B171" s="19" t="s">
        <v>160</v>
      </c>
      <c r="C171" s="121" t="s">
        <v>85</v>
      </c>
      <c r="D171" s="17">
        <f t="shared" ref="D171:E175" si="2">D96*D164</f>
        <v>0</v>
      </c>
      <c r="E171" s="17">
        <f t="shared" si="2"/>
        <v>0</v>
      </c>
      <c r="F171" s="201" t="s">
        <v>189</v>
      </c>
      <c r="G171" s="201"/>
      <c r="H171" s="201"/>
      <c r="I171" s="201"/>
      <c r="J171" s="201"/>
      <c r="K171" s="201"/>
      <c r="L171" s="201"/>
      <c r="M171" s="201"/>
    </row>
    <row r="172" spans="2:13" x14ac:dyDescent="0.25">
      <c r="B172" s="19" t="s">
        <v>163</v>
      </c>
      <c r="C172" s="121" t="s">
        <v>85</v>
      </c>
      <c r="D172" s="17">
        <f t="shared" si="2"/>
        <v>0</v>
      </c>
      <c r="E172" s="17">
        <f t="shared" si="2"/>
        <v>0</v>
      </c>
      <c r="F172" s="201"/>
      <c r="G172" s="201"/>
      <c r="H172" s="201"/>
      <c r="I172" s="201"/>
      <c r="J172" s="201"/>
      <c r="K172" s="201"/>
      <c r="L172" s="201"/>
      <c r="M172" s="201"/>
    </row>
    <row r="173" spans="2:13" x14ac:dyDescent="0.25">
      <c r="B173" s="19" t="s">
        <v>164</v>
      </c>
      <c r="C173" s="121" t="s">
        <v>85</v>
      </c>
      <c r="D173" s="17">
        <f t="shared" si="2"/>
        <v>0</v>
      </c>
      <c r="E173" s="17">
        <f t="shared" si="2"/>
        <v>0</v>
      </c>
      <c r="F173" s="201"/>
      <c r="G173" s="201"/>
      <c r="H173" s="201"/>
      <c r="I173" s="201"/>
      <c r="J173" s="201"/>
      <c r="K173" s="201"/>
      <c r="L173" s="201"/>
      <c r="M173" s="201"/>
    </row>
    <row r="174" spans="2:13" x14ac:dyDescent="0.25">
      <c r="B174" s="19" t="s">
        <v>165</v>
      </c>
      <c r="C174" s="121" t="s">
        <v>85</v>
      </c>
      <c r="D174" s="17">
        <f t="shared" si="2"/>
        <v>0</v>
      </c>
      <c r="E174" s="17">
        <f t="shared" si="2"/>
        <v>0</v>
      </c>
      <c r="F174" s="201"/>
      <c r="G174" s="201"/>
      <c r="H174" s="201"/>
      <c r="I174" s="201"/>
      <c r="J174" s="201"/>
      <c r="K174" s="201"/>
      <c r="L174" s="201"/>
      <c r="M174" s="201"/>
    </row>
    <row r="175" spans="2:13" x14ac:dyDescent="0.25">
      <c r="B175" s="19" t="s">
        <v>166</v>
      </c>
      <c r="C175" s="121" t="s">
        <v>85</v>
      </c>
      <c r="D175" s="17">
        <f t="shared" si="2"/>
        <v>0</v>
      </c>
      <c r="E175" s="17">
        <f t="shared" si="2"/>
        <v>0</v>
      </c>
      <c r="F175" s="201"/>
      <c r="G175" s="201"/>
      <c r="H175" s="201"/>
      <c r="I175" s="201"/>
      <c r="J175" s="201"/>
      <c r="K175" s="201"/>
      <c r="L175" s="201"/>
      <c r="M175" s="201"/>
    </row>
    <row r="176" spans="2:13" ht="15.75" thickBot="1" x14ac:dyDescent="0.3">
      <c r="B176" s="50" t="s">
        <v>190</v>
      </c>
      <c r="C176" s="49" t="s">
        <v>85</v>
      </c>
      <c r="D176" s="51">
        <f>SUM(D171:D175)</f>
        <v>0</v>
      </c>
      <c r="E176" s="51">
        <f t="shared" ref="E176" si="3">SUM(E171:E175)</f>
        <v>0</v>
      </c>
    </row>
    <row r="177" spans="1:13" ht="15.75" thickTop="1" x14ac:dyDescent="0.25">
      <c r="D177" s="14"/>
    </row>
    <row r="178" spans="1:13" s="151" customFormat="1" ht="18" thickBot="1" x14ac:dyDescent="0.35">
      <c r="A178" s="151" t="s">
        <v>246</v>
      </c>
    </row>
    <row r="179" spans="1:13" ht="15.75" outlineLevel="1" thickTop="1" x14ac:dyDescent="0.25">
      <c r="B179" s="4"/>
      <c r="F179" s="161"/>
      <c r="G179" s="161"/>
      <c r="H179" s="161"/>
      <c r="I179" s="161"/>
      <c r="J179" s="161"/>
      <c r="K179" s="161"/>
    </row>
    <row r="180" spans="1:13" s="8" customFormat="1" ht="15.75" outlineLevel="1" thickBot="1" x14ac:dyDescent="0.3">
      <c r="A180" s="8" t="s">
        <v>105</v>
      </c>
    </row>
    <row r="181" spans="1:13" outlineLevel="1" x14ac:dyDescent="0.25">
      <c r="B181" s="4"/>
      <c r="F181" s="161"/>
      <c r="G181" s="161"/>
      <c r="H181" s="161"/>
      <c r="I181" s="161"/>
      <c r="J181" s="161"/>
      <c r="K181" s="161"/>
    </row>
    <row r="182" spans="1:13" outlineLevel="1" x14ac:dyDescent="0.25">
      <c r="B182" s="31" t="s">
        <v>119</v>
      </c>
      <c r="C182" s="7" t="s">
        <v>80</v>
      </c>
      <c r="D182" s="16" t="str">
        <f>"Variant"&amp;" "&amp;$A$17</f>
        <v>Variant 2a</v>
      </c>
      <c r="E182" s="16" t="str">
        <f>"Variant"&amp;" "&amp;$A$18</f>
        <v>Variant 2b</v>
      </c>
      <c r="F182" s="196" t="s">
        <v>3</v>
      </c>
      <c r="G182" s="196"/>
      <c r="H182" s="196"/>
      <c r="I182" s="196"/>
      <c r="J182" s="196" t="s">
        <v>83</v>
      </c>
      <c r="K182" s="196"/>
      <c r="L182" s="196"/>
      <c r="M182" s="196"/>
    </row>
    <row r="183" spans="1:13" ht="14.45" customHeight="1" outlineLevel="1" x14ac:dyDescent="0.25">
      <c r="B183" s="32" t="s">
        <v>105</v>
      </c>
      <c r="C183" s="6" t="s">
        <v>85</v>
      </c>
      <c r="D183" s="68">
        <v>0</v>
      </c>
      <c r="E183" s="68">
        <v>0</v>
      </c>
      <c r="F183" s="195" t="s">
        <v>106</v>
      </c>
      <c r="G183" s="195"/>
      <c r="H183" s="195"/>
      <c r="I183" s="195"/>
      <c r="J183" s="195" t="s">
        <v>216</v>
      </c>
      <c r="K183" s="195"/>
      <c r="L183" s="195"/>
      <c r="M183" s="195"/>
    </row>
    <row r="184" spans="1:13" outlineLevel="1" x14ac:dyDescent="0.25">
      <c r="B184" s="4"/>
      <c r="C184" s="46"/>
      <c r="D184" s="41"/>
      <c r="E184" s="41"/>
      <c r="F184" s="41"/>
      <c r="G184" s="41"/>
      <c r="H184" s="41"/>
      <c r="I184" s="41"/>
      <c r="J184" s="41"/>
    </row>
    <row r="185" spans="1:13" s="8" customFormat="1" ht="15.75" outlineLevel="1" thickBot="1" x14ac:dyDescent="0.3">
      <c r="A185" s="8" t="s">
        <v>193</v>
      </c>
    </row>
    <row r="186" spans="1:13" outlineLevel="1" x14ac:dyDescent="0.25">
      <c r="A186" s="53" t="s">
        <v>194</v>
      </c>
    </row>
    <row r="187" spans="1:13" outlineLevel="1" x14ac:dyDescent="0.25">
      <c r="B187" s="4"/>
      <c r="C187" s="46"/>
      <c r="D187" s="12"/>
      <c r="E187" s="12"/>
      <c r="F187" s="12"/>
      <c r="G187" s="12"/>
      <c r="H187" s="12"/>
      <c r="I187" s="12"/>
      <c r="J187" s="12"/>
    </row>
    <row r="188" spans="1:13" outlineLevel="1" x14ac:dyDescent="0.25">
      <c r="B188" s="31" t="s">
        <v>119</v>
      </c>
      <c r="C188" s="7" t="s">
        <v>80</v>
      </c>
      <c r="D188" s="16" t="str">
        <f>"Variant"&amp;" "&amp;$A$17</f>
        <v>Variant 2a</v>
      </c>
      <c r="E188" s="16" t="str">
        <f>"Variant"&amp;" "&amp;$A$18</f>
        <v>Variant 2b</v>
      </c>
      <c r="F188" s="196" t="s">
        <v>3</v>
      </c>
      <c r="G188" s="196"/>
      <c r="H188" s="196"/>
      <c r="I188" s="196"/>
      <c r="J188" s="196" t="s">
        <v>83</v>
      </c>
      <c r="K188" s="196"/>
      <c r="L188" s="196"/>
      <c r="M188" s="196"/>
    </row>
    <row r="189" spans="1:13" ht="14.45" customHeight="1" outlineLevel="1" x14ac:dyDescent="0.25">
      <c r="B189" s="32" t="s">
        <v>120</v>
      </c>
      <c r="C189" s="6" t="s">
        <v>85</v>
      </c>
      <c r="D189" s="68">
        <v>0</v>
      </c>
      <c r="E189" s="68">
        <v>0</v>
      </c>
      <c r="F189" s="195" t="s">
        <v>195</v>
      </c>
      <c r="G189" s="195"/>
      <c r="H189" s="195"/>
      <c r="I189" s="195"/>
      <c r="J189" s="195" t="s">
        <v>216</v>
      </c>
      <c r="K189" s="195"/>
      <c r="L189" s="195"/>
      <c r="M189" s="195"/>
    </row>
    <row r="190" spans="1:13" outlineLevel="1" x14ac:dyDescent="0.25">
      <c r="B190" s="4"/>
      <c r="C190" s="46"/>
      <c r="D190" s="41"/>
      <c r="E190" s="41"/>
      <c r="F190" s="41"/>
      <c r="G190" s="41"/>
      <c r="H190" s="41"/>
      <c r="I190" s="41"/>
      <c r="J190" s="41"/>
    </row>
    <row r="191" spans="1:13" s="8" customFormat="1" ht="15.75" outlineLevel="1" thickBot="1" x14ac:dyDescent="0.3">
      <c r="A191" s="8" t="s">
        <v>123</v>
      </c>
    </row>
    <row r="192" spans="1:13" outlineLevel="1" x14ac:dyDescent="0.25">
      <c r="A192" s="53" t="s">
        <v>197</v>
      </c>
    </row>
    <row r="193" spans="2:13" outlineLevel="1" x14ac:dyDescent="0.25">
      <c r="B193" s="4"/>
      <c r="C193" s="46"/>
      <c r="D193" s="12"/>
      <c r="E193" s="12"/>
      <c r="F193" s="12"/>
      <c r="G193" s="12"/>
      <c r="H193" s="12"/>
      <c r="I193" s="12"/>
      <c r="J193" s="12"/>
    </row>
    <row r="194" spans="2:13" outlineLevel="1" x14ac:dyDescent="0.25">
      <c r="B194" s="31" t="s">
        <v>198</v>
      </c>
      <c r="C194" s="7" t="s">
        <v>80</v>
      </c>
      <c r="D194" s="16" t="str">
        <f>"Variant"&amp;" "&amp;$A$17</f>
        <v>Variant 2a</v>
      </c>
      <c r="E194" s="16" t="str">
        <f>"Variant"&amp;" "&amp;$A$18</f>
        <v>Variant 2b</v>
      </c>
      <c r="F194" s="196" t="s">
        <v>3</v>
      </c>
      <c r="G194" s="196"/>
      <c r="H194" s="196"/>
      <c r="I194" s="196"/>
      <c r="J194" s="196" t="s">
        <v>83</v>
      </c>
      <c r="K194" s="196"/>
      <c r="L194" s="196"/>
      <c r="M194" s="196"/>
    </row>
    <row r="195" spans="2:13" ht="14.45" customHeight="1" outlineLevel="1" x14ac:dyDescent="0.25">
      <c r="B195" s="40" t="s">
        <v>199</v>
      </c>
      <c r="C195" s="6" t="s">
        <v>85</v>
      </c>
      <c r="D195" s="75">
        <v>770</v>
      </c>
      <c r="E195" s="75">
        <v>770</v>
      </c>
      <c r="F195" s="195" t="s">
        <v>200</v>
      </c>
      <c r="G195" s="195"/>
      <c r="H195" s="195"/>
      <c r="I195" s="195"/>
      <c r="J195" s="195" t="s">
        <v>201</v>
      </c>
      <c r="K195" s="195"/>
      <c r="L195" s="195"/>
      <c r="M195" s="195"/>
    </row>
    <row r="196" spans="2:13" ht="14.45" customHeight="1" outlineLevel="1" x14ac:dyDescent="0.25">
      <c r="B196" s="40" t="s">
        <v>202</v>
      </c>
      <c r="C196" s="6" t="s">
        <v>85</v>
      </c>
      <c r="D196" s="75">
        <v>180</v>
      </c>
      <c r="E196" s="75">
        <v>180</v>
      </c>
      <c r="F196" s="195" t="s">
        <v>203</v>
      </c>
      <c r="G196" s="195"/>
      <c r="H196" s="195"/>
      <c r="I196" s="195"/>
      <c r="J196" s="195" t="s">
        <v>201</v>
      </c>
      <c r="K196" s="195"/>
      <c r="L196" s="195"/>
      <c r="M196" s="195"/>
    </row>
    <row r="197" spans="2:13" ht="15.75" outlineLevel="1" thickBot="1" x14ac:dyDescent="0.3">
      <c r="B197" s="43" t="s">
        <v>204</v>
      </c>
      <c r="C197" s="42" t="s">
        <v>85</v>
      </c>
      <c r="D197" s="44">
        <f t="shared" ref="D197:E197" si="4">SUM(D195:D196)</f>
        <v>950</v>
      </c>
      <c r="E197" s="44">
        <f t="shared" si="4"/>
        <v>950</v>
      </c>
    </row>
    <row r="198" spans="2:13" ht="15.75" outlineLevel="1" thickTop="1" x14ac:dyDescent="0.25"/>
  </sheetData>
  <mergeCells count="129">
    <mergeCell ref="J38:M38"/>
    <mergeCell ref="F147:M147"/>
    <mergeCell ref="F148:M148"/>
    <mergeCell ref="F140:M140"/>
    <mergeCell ref="F130:M134"/>
    <mergeCell ref="F120:M120"/>
    <mergeCell ref="F121:M121"/>
    <mergeCell ref="F122:M122"/>
    <mergeCell ref="F123:M123"/>
    <mergeCell ref="F124:M124"/>
    <mergeCell ref="F125:M125"/>
    <mergeCell ref="F65:M65"/>
    <mergeCell ref="F103:M107"/>
    <mergeCell ref="F83:M83"/>
    <mergeCell ref="F84:M84"/>
    <mergeCell ref="F85:M85"/>
    <mergeCell ref="F86:M86"/>
    <mergeCell ref="F87:M87"/>
    <mergeCell ref="F126:M126"/>
    <mergeCell ref="F127:M127"/>
    <mergeCell ref="F110:M110"/>
    <mergeCell ref="F111:M111"/>
    <mergeCell ref="F112:M112"/>
    <mergeCell ref="F113:M113"/>
    <mergeCell ref="J188:M188"/>
    <mergeCell ref="J194:M194"/>
    <mergeCell ref="J55:M55"/>
    <mergeCell ref="J56:M56"/>
    <mergeCell ref="J49:M49"/>
    <mergeCell ref="J50:M50"/>
    <mergeCell ref="F43:I43"/>
    <mergeCell ref="F44:I44"/>
    <mergeCell ref="F45:I45"/>
    <mergeCell ref="F153:M153"/>
    <mergeCell ref="F156:M156"/>
    <mergeCell ref="F163:M163"/>
    <mergeCell ref="F170:M170"/>
    <mergeCell ref="F171:M175"/>
    <mergeCell ref="F164:M168"/>
    <mergeCell ref="F157:M161"/>
    <mergeCell ref="F154:M154"/>
    <mergeCell ref="F64:M64"/>
    <mergeCell ref="F73:M73"/>
    <mergeCell ref="F76:M76"/>
    <mergeCell ref="F82:M82"/>
    <mergeCell ref="F77:M77"/>
    <mergeCell ref="F78:M78"/>
    <mergeCell ref="F79:M79"/>
    <mergeCell ref="J183:M183"/>
    <mergeCell ref="J61:M61"/>
    <mergeCell ref="J62:M62"/>
    <mergeCell ref="F92:M92"/>
    <mergeCell ref="F95:M95"/>
    <mergeCell ref="F102:M102"/>
    <mergeCell ref="F109:M109"/>
    <mergeCell ref="J48:M48"/>
    <mergeCell ref="J54:M54"/>
    <mergeCell ref="J60:M60"/>
    <mergeCell ref="J182:M182"/>
    <mergeCell ref="F74:M74"/>
    <mergeCell ref="F114:M114"/>
    <mergeCell ref="F115:M115"/>
    <mergeCell ref="F116:M116"/>
    <mergeCell ref="F117:M117"/>
    <mergeCell ref="F38:I38"/>
    <mergeCell ref="F183:I183"/>
    <mergeCell ref="F189:I189"/>
    <mergeCell ref="F195:I195"/>
    <mergeCell ref="F196:I196"/>
    <mergeCell ref="F119:M119"/>
    <mergeCell ref="F129:M129"/>
    <mergeCell ref="F139:M139"/>
    <mergeCell ref="F146:M146"/>
    <mergeCell ref="F93:M93"/>
    <mergeCell ref="F96:M100"/>
    <mergeCell ref="F46:I46"/>
    <mergeCell ref="F49:I49"/>
    <mergeCell ref="F50:I50"/>
    <mergeCell ref="F194:I194"/>
    <mergeCell ref="F188:I188"/>
    <mergeCell ref="F182:I182"/>
    <mergeCell ref="F60:I60"/>
    <mergeCell ref="F54:I54"/>
    <mergeCell ref="F48:I48"/>
    <mergeCell ref="J39:M39"/>
    <mergeCell ref="J195:M195"/>
    <mergeCell ref="J196:M196"/>
    <mergeCell ref="J189:M189"/>
    <mergeCell ref="B120:C120"/>
    <mergeCell ref="B124:C124"/>
    <mergeCell ref="B114:C114"/>
    <mergeCell ref="B119:C119"/>
    <mergeCell ref="B109:C109"/>
    <mergeCell ref="B110:C110"/>
    <mergeCell ref="P130:U130"/>
    <mergeCell ref="P131:U131"/>
    <mergeCell ref="P132:U134"/>
    <mergeCell ref="B65:C65"/>
    <mergeCell ref="B64:C64"/>
    <mergeCell ref="F61:I61"/>
    <mergeCell ref="F62:I62"/>
    <mergeCell ref="F55:I55"/>
    <mergeCell ref="F56:I56"/>
    <mergeCell ref="F39:I39"/>
    <mergeCell ref="F42:I42"/>
    <mergeCell ref="J41:M41"/>
    <mergeCell ref="J42:M42"/>
    <mergeCell ref="F41:I41"/>
    <mergeCell ref="J43:M43"/>
    <mergeCell ref="J44:M44"/>
    <mergeCell ref="J45:M45"/>
    <mergeCell ref="J46:M46"/>
    <mergeCell ref="F36:I36"/>
    <mergeCell ref="F37:I37"/>
    <mergeCell ref="J36:M36"/>
    <mergeCell ref="F32:I32"/>
    <mergeCell ref="F33:I33"/>
    <mergeCell ref="F34:I34"/>
    <mergeCell ref="J32:M32"/>
    <mergeCell ref="B8:G8"/>
    <mergeCell ref="I8:O8"/>
    <mergeCell ref="B12:Q12"/>
    <mergeCell ref="B24:K24"/>
    <mergeCell ref="B29:C29"/>
    <mergeCell ref="F31:I31"/>
    <mergeCell ref="J31:M31"/>
    <mergeCell ref="J33:M33"/>
    <mergeCell ref="J34:M34"/>
    <mergeCell ref="J37:M37"/>
  </mergeCells>
  <conditionalFormatting sqref="D83:D87">
    <cfRule type="expression" dxfId="26" priority="24">
      <formula>$D$74="No"</formula>
    </cfRule>
  </conditionalFormatting>
  <conditionalFormatting sqref="D115:E115">
    <cfRule type="expression" dxfId="25" priority="11">
      <formula>$D$131="No"</formula>
    </cfRule>
  </conditionalFormatting>
  <conditionalFormatting sqref="D116:E116">
    <cfRule type="expression" dxfId="24" priority="10">
      <formula>$D$132="No"</formula>
    </cfRule>
  </conditionalFormatting>
  <conditionalFormatting sqref="D117:E117">
    <cfRule type="expression" dxfId="23" priority="9">
      <formula>$D$133="No"</formula>
    </cfRule>
  </conditionalFormatting>
  <conditionalFormatting sqref="D125:E125">
    <cfRule type="expression" dxfId="22" priority="3">
      <formula>$D$141="N/A"</formula>
    </cfRule>
    <cfRule type="expression" dxfId="21" priority="16">
      <formula>$D$141="No"</formula>
    </cfRule>
  </conditionalFormatting>
  <conditionalFormatting sqref="D126:E126">
    <cfRule type="expression" dxfId="20" priority="5">
      <formula>$E$142="N/A"</formula>
    </cfRule>
    <cfRule type="expression" dxfId="19" priority="13">
      <formula>$E$142="No"</formula>
    </cfRule>
  </conditionalFormatting>
  <conditionalFormatting sqref="D127:E127">
    <cfRule type="expression" dxfId="18" priority="4">
      <formula>$E$143="N/A"</formula>
    </cfRule>
    <cfRule type="expression" dxfId="17" priority="12">
      <formula>$E$143="No"</formula>
    </cfRule>
  </conditionalFormatting>
  <conditionalFormatting sqref="E83:E84">
    <cfRule type="expression" dxfId="16" priority="17">
      <formula>#REF!="No"</formula>
    </cfRule>
  </conditionalFormatting>
  <dataValidations count="1">
    <dataValidation type="list" allowBlank="1" showInputMessage="1" showErrorMessage="1" sqref="D20" xr:uid="{F9346CE5-3E04-4701-BDD5-6B2999348425}">
      <formula1>$D$60:$E$60</formula1>
    </dataValidation>
  </dataValidations>
  <pageMargins left="0.7" right="0.7" top="0.75" bottom="0.75" header="0.3" footer="0.3"/>
  <pageSetup paperSize="9" orientation="portrait" r:id="rId1"/>
  <headerFooter>
    <oddHeader>&amp;L&amp;"Calibri"&amp;8&amp;K000000 Sensitivity: General&amp;1#_x000D_</oddHeader>
    <oddFooter>&amp;C_x000D_&amp;1#&amp;"Calibri"&amp;10&amp;K000000 IN-CONFIDENCE: ORGANISATION</oddFooter>
  </headerFooter>
  <extLst>
    <ext xmlns:x14="http://schemas.microsoft.com/office/spreadsheetml/2009/9/main" uri="{CCE6A557-97BC-4b89-ADB6-D9C93CAAB3DF}">
      <x14:dataValidations xmlns:xm="http://schemas.microsoft.com/office/excel/2006/main" count="3">
        <x14:dataValidation type="list" allowBlank="1" showInputMessage="1" showErrorMessage="1" xr:uid="{993A7A4E-82F6-4281-822D-0F4B3E9BDF03}">
          <x14:formula1>
            <xm:f>List!$A$2:$A$3</xm:f>
          </x14:formula1>
          <xm:sqref>D74:E74 D65:E65 D111:E113</xm:sqref>
        </x14:dataValidation>
        <x14:dataValidation type="list" allowBlank="1" showInputMessage="1" showErrorMessage="1" xr:uid="{84636624-2A4F-4858-96C5-1622593901FC}">
          <x14:formula1>
            <xm:f>'Network costing zones'!$D$4:$F$4</xm:f>
          </x14:formula1>
          <xm:sqref>D93:E93</xm:sqref>
        </x14:dataValidation>
        <x14:dataValidation type="list" allowBlank="1" showInputMessage="1" showErrorMessage="1" xr:uid="{096E0D72-6741-4AD1-B677-239A07F14C53}">
          <x14:formula1>
            <xm:f>List!$A$2:$A$4</xm:f>
          </x14:formula1>
          <xm:sqref>D121:E123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EBA360-E04E-4E81-9C9E-453A5D507751}">
  <sheetPr>
    <tabColor theme="4" tint="0.59999389629810485"/>
  </sheetPr>
  <dimension ref="A1:X254"/>
  <sheetViews>
    <sheetView topLeftCell="B1" zoomScale="98" zoomScaleNormal="98" workbookViewId="0">
      <pane ySplit="1" topLeftCell="A163" activePane="bottomLeft" state="frozen"/>
      <selection activeCell="C1" sqref="C1"/>
      <selection pane="bottomLeft" activeCell="H144" sqref="H144:M144"/>
    </sheetView>
    <sheetView tabSelected="1" workbookViewId="1">
      <selection sqref="A1:XFD1"/>
    </sheetView>
  </sheetViews>
  <sheetFormatPr defaultColWidth="9.28515625" defaultRowHeight="15" outlineLevelRow="2" x14ac:dyDescent="0.25"/>
  <cols>
    <col min="1" max="1" width="9.28515625" style="2" customWidth="1"/>
    <col min="2" max="2" width="42.28515625" style="2" customWidth="1"/>
    <col min="3" max="3" width="10.7109375" style="2" customWidth="1"/>
    <col min="4" max="24" width="18.7109375" style="2" customWidth="1"/>
    <col min="25" max="26" width="12.7109375" style="2" customWidth="1"/>
    <col min="27" max="16384" width="9.28515625" style="2"/>
  </cols>
  <sheetData>
    <row r="1" spans="1:24" s="1" customFormat="1" ht="20.25" thickBot="1" x14ac:dyDescent="0.35">
      <c r="A1" s="1" t="s">
        <v>247</v>
      </c>
      <c r="H1" s="1" t="s">
        <v>58</v>
      </c>
      <c r="I1" s="153" t="s">
        <v>59</v>
      </c>
      <c r="J1" s="154" t="s">
        <v>60</v>
      </c>
      <c r="K1" s="155" t="s">
        <v>61</v>
      </c>
      <c r="L1" s="156" t="s">
        <v>62</v>
      </c>
      <c r="M1" s="157" t="s">
        <v>63</v>
      </c>
    </row>
    <row r="2" spans="1:24" s="152" customFormat="1" ht="19.899999999999999" customHeight="1" thickTop="1" x14ac:dyDescent="0.25">
      <c r="A2" s="152" t="s">
        <v>64</v>
      </c>
    </row>
    <row r="4" spans="1:24" s="151" customFormat="1" ht="18" thickBot="1" x14ac:dyDescent="0.35">
      <c r="A4" s="151" t="s">
        <v>65</v>
      </c>
    </row>
    <row r="5" spans="1:24" ht="15.75" outlineLevel="1" thickTop="1" x14ac:dyDescent="0.25"/>
    <row r="6" spans="1:24" outlineLevel="1" x14ac:dyDescent="0.25">
      <c r="B6" s="5" t="s">
        <v>66</v>
      </c>
      <c r="C6" s="5"/>
      <c r="I6" s="5" t="s">
        <v>67</v>
      </c>
      <c r="J6" s="5"/>
      <c r="K6" s="5"/>
    </row>
    <row r="7" spans="1:24" outlineLevel="1" x14ac:dyDescent="0.25"/>
    <row r="8" spans="1:24" ht="49.9" customHeight="1" outlineLevel="1" x14ac:dyDescent="0.25">
      <c r="B8" s="211" t="s">
        <v>248</v>
      </c>
      <c r="C8" s="212"/>
      <c r="D8" s="212"/>
      <c r="E8" s="212"/>
      <c r="F8" s="212"/>
      <c r="G8" s="213"/>
      <c r="H8" s="22"/>
      <c r="I8" s="211" t="s">
        <v>69</v>
      </c>
      <c r="J8" s="212"/>
      <c r="K8" s="212"/>
      <c r="L8" s="212"/>
      <c r="M8" s="212"/>
      <c r="N8" s="212"/>
      <c r="O8" s="213"/>
      <c r="Q8" s="22"/>
      <c r="R8" s="22"/>
      <c r="S8" s="22"/>
      <c r="T8" s="22"/>
      <c r="U8" s="22"/>
      <c r="V8" s="22"/>
      <c r="W8" s="22"/>
      <c r="X8" s="22"/>
    </row>
    <row r="9" spans="1:24" ht="14.45" customHeight="1" outlineLevel="1" x14ac:dyDescent="0.25">
      <c r="B9" s="79"/>
      <c r="C9" s="79"/>
      <c r="D9" s="79"/>
      <c r="E9" s="79"/>
      <c r="F9" s="79"/>
      <c r="G9" s="79"/>
      <c r="H9" s="22"/>
      <c r="I9" s="79"/>
      <c r="J9" s="79"/>
      <c r="K9" s="79"/>
      <c r="L9" s="79"/>
      <c r="M9" s="79"/>
      <c r="N9" s="79"/>
      <c r="O9" s="79"/>
      <c r="Q9" s="22"/>
      <c r="R9" s="22"/>
      <c r="S9" s="22"/>
      <c r="T9" s="22"/>
      <c r="U9" s="22"/>
      <c r="V9" s="22"/>
      <c r="W9" s="22"/>
      <c r="X9" s="22"/>
    </row>
    <row r="10" spans="1:24" ht="14.45" customHeight="1" outlineLevel="1" x14ac:dyDescent="0.25">
      <c r="B10" s="5" t="s">
        <v>70</v>
      </c>
      <c r="C10" s="79"/>
      <c r="D10" s="79"/>
      <c r="E10" s="79"/>
      <c r="F10" s="79"/>
      <c r="G10" s="79"/>
      <c r="H10" s="79"/>
      <c r="J10" s="79"/>
      <c r="K10" s="79"/>
      <c r="L10" s="79"/>
      <c r="M10" s="79"/>
      <c r="N10" s="79"/>
      <c r="O10" s="79"/>
      <c r="P10" s="79"/>
      <c r="Q10" s="79"/>
      <c r="R10" s="22"/>
      <c r="S10" s="22"/>
      <c r="T10" s="22"/>
      <c r="U10" s="22"/>
      <c r="V10" s="22"/>
      <c r="W10" s="22"/>
      <c r="X10" s="22"/>
    </row>
    <row r="11" spans="1:24" ht="14.45" customHeight="1" outlineLevel="1" x14ac:dyDescent="0.25">
      <c r="B11" s="79"/>
      <c r="C11" s="79"/>
      <c r="D11" s="79"/>
      <c r="E11" s="79"/>
      <c r="F11" s="79"/>
      <c r="G11" s="79"/>
      <c r="H11" s="79"/>
      <c r="J11" s="79"/>
      <c r="K11" s="79"/>
      <c r="L11" s="79"/>
      <c r="M11" s="79"/>
      <c r="N11" s="79"/>
      <c r="O11" s="79"/>
      <c r="P11" s="79"/>
      <c r="Q11" s="79"/>
      <c r="R11" s="22"/>
      <c r="S11" s="22"/>
      <c r="T11" s="22"/>
      <c r="U11" s="22"/>
      <c r="V11" s="22"/>
      <c r="W11" s="22"/>
      <c r="X11" s="22"/>
    </row>
    <row r="12" spans="1:24" ht="74.45" customHeight="1" outlineLevel="1" x14ac:dyDescent="0.25">
      <c r="B12" s="214" t="s">
        <v>249</v>
      </c>
      <c r="C12" s="215"/>
      <c r="D12" s="215"/>
      <c r="E12" s="215"/>
      <c r="F12" s="215"/>
      <c r="G12" s="215"/>
      <c r="H12" s="215"/>
      <c r="I12" s="215"/>
      <c r="J12" s="215"/>
      <c r="K12" s="215"/>
      <c r="L12" s="215"/>
      <c r="M12" s="215"/>
      <c r="N12" s="215"/>
      <c r="O12" s="215"/>
      <c r="P12" s="215"/>
      <c r="Q12" s="216"/>
      <c r="R12" s="22"/>
      <c r="S12" s="22"/>
      <c r="T12" s="22"/>
      <c r="U12" s="22"/>
      <c r="V12" s="22"/>
      <c r="W12" s="22"/>
      <c r="X12" s="22"/>
    </row>
    <row r="13" spans="1:24" ht="14.45" customHeight="1" outlineLevel="1" x14ac:dyDescent="0.25">
      <c r="B13" s="79"/>
      <c r="C13" s="79"/>
      <c r="D13" s="79"/>
      <c r="E13" s="79"/>
      <c r="F13" s="79"/>
      <c r="G13" s="79"/>
      <c r="H13" s="22"/>
      <c r="I13" s="79"/>
      <c r="J13" s="79"/>
      <c r="K13" s="79"/>
      <c r="L13" s="79"/>
      <c r="M13" s="79"/>
      <c r="N13" s="79"/>
      <c r="O13" s="79"/>
      <c r="Q13" s="22"/>
      <c r="R13" s="22"/>
      <c r="S13" s="22"/>
      <c r="T13" s="22"/>
      <c r="U13" s="22"/>
      <c r="V13" s="22"/>
      <c r="W13" s="22"/>
      <c r="X13" s="22"/>
    </row>
    <row r="14" spans="1:24" s="150" customFormat="1" ht="18" thickBot="1" x14ac:dyDescent="0.35">
      <c r="A14" s="150" t="s">
        <v>72</v>
      </c>
    </row>
    <row r="15" spans="1:24" ht="15.75" outlineLevel="1" thickTop="1" x14ac:dyDescent="0.25"/>
    <row r="16" spans="1:24" outlineLevel="1" x14ac:dyDescent="0.25">
      <c r="B16" s="4" t="s">
        <v>73</v>
      </c>
    </row>
    <row r="17" spans="1:18" outlineLevel="1" x14ac:dyDescent="0.25">
      <c r="A17" s="27" t="s">
        <v>48</v>
      </c>
      <c r="B17" s="28" t="s">
        <v>49</v>
      </c>
    </row>
    <row r="18" spans="1:18" outlineLevel="1" x14ac:dyDescent="0.25">
      <c r="A18" s="27" t="s">
        <v>51</v>
      </c>
      <c r="B18" s="28" t="s">
        <v>250</v>
      </c>
    </row>
    <row r="19" spans="1:18" outlineLevel="1" x14ac:dyDescent="0.25">
      <c r="A19" s="27" t="s">
        <v>53</v>
      </c>
      <c r="B19" s="28" t="s">
        <v>54</v>
      </c>
    </row>
    <row r="20" spans="1:18" outlineLevel="1" x14ac:dyDescent="0.25">
      <c r="A20" s="27" t="s">
        <v>55</v>
      </c>
      <c r="B20" s="28" t="s">
        <v>56</v>
      </c>
    </row>
    <row r="21" spans="1:18" ht="15.75" outlineLevel="1" thickBot="1" x14ac:dyDescent="0.3">
      <c r="A21" s="27"/>
      <c r="B21" s="28"/>
    </row>
    <row r="22" spans="1:18" ht="19.5" outlineLevel="1" thickBot="1" x14ac:dyDescent="0.35">
      <c r="A22" s="27"/>
      <c r="B22" s="158" t="s">
        <v>74</v>
      </c>
      <c r="C22" s="158"/>
      <c r="D22" s="159" t="s">
        <v>251</v>
      </c>
    </row>
    <row r="23" spans="1:18" outlineLevel="1" x14ac:dyDescent="0.25"/>
    <row r="24" spans="1:18" s="151" customFormat="1" ht="18" thickBot="1" x14ac:dyDescent="0.35">
      <c r="A24" s="151" t="s">
        <v>75</v>
      </c>
    </row>
    <row r="25" spans="1:18" ht="15.75" outlineLevel="1" thickTop="1" x14ac:dyDescent="0.25"/>
    <row r="26" spans="1:18" ht="28.9" customHeight="1" outlineLevel="1" x14ac:dyDescent="0.25">
      <c r="B26" s="199" t="s">
        <v>252</v>
      </c>
      <c r="C26" s="199"/>
      <c r="D26" s="199"/>
      <c r="E26" s="199"/>
      <c r="F26" s="199"/>
      <c r="G26" s="199"/>
      <c r="H26" s="199"/>
      <c r="I26" s="199"/>
      <c r="J26" s="199"/>
      <c r="K26" s="199"/>
      <c r="L26" s="4"/>
      <c r="M26" s="4"/>
      <c r="N26" s="4"/>
      <c r="O26" s="4"/>
      <c r="P26" s="4"/>
      <c r="Q26" s="4"/>
      <c r="R26" s="4"/>
    </row>
    <row r="27" spans="1:18" outlineLevel="1" x14ac:dyDescent="0.25"/>
    <row r="28" spans="1:18" s="8" customFormat="1" ht="15.75" outlineLevel="1" thickBot="1" x14ac:dyDescent="0.3">
      <c r="A28" s="8" t="str">
        <f>"Incremental cost and connection charge"&amp;" for "&amp;Sc3_variant</f>
        <v>Incremental cost and connection charge for Variant 3a</v>
      </c>
    </row>
    <row r="29" spans="1:18" outlineLevel="1" x14ac:dyDescent="0.25"/>
    <row r="30" spans="1:18" outlineLevel="1" x14ac:dyDescent="0.25">
      <c r="B30" s="128" t="s">
        <v>77</v>
      </c>
      <c r="C30" s="129"/>
      <c r="D30" s="163" t="str">
        <f>_xlfn.XLOOKUP(Sc3_variant,D75:G75,D76:G76)</f>
        <v>No</v>
      </c>
    </row>
    <row r="31" spans="1:18" outlineLevel="1" x14ac:dyDescent="0.25">
      <c r="B31" s="197" t="s">
        <v>78</v>
      </c>
      <c r="C31" s="198"/>
      <c r="D31" s="163" t="str">
        <f>_xlfn.XLOOKUP(Sc3_variant,D66:G66,D67:G67)</f>
        <v>Yes</v>
      </c>
    </row>
    <row r="32" spans="1:18" outlineLevel="1" x14ac:dyDescent="0.25"/>
    <row r="33" spans="1:19" ht="30" outlineLevel="1" x14ac:dyDescent="0.25">
      <c r="A33" s="178"/>
      <c r="B33" s="7" t="s">
        <v>79</v>
      </c>
      <c r="C33" s="31" t="s">
        <v>80</v>
      </c>
      <c r="D33" s="16" t="s">
        <v>81</v>
      </c>
      <c r="E33" s="16" t="s">
        <v>82</v>
      </c>
      <c r="F33" s="196" t="s">
        <v>3</v>
      </c>
      <c r="G33" s="196"/>
      <c r="H33" s="196"/>
      <c r="I33" s="196"/>
      <c r="J33" s="196" t="s">
        <v>83</v>
      </c>
      <c r="K33" s="196"/>
      <c r="L33" s="196"/>
      <c r="M33" s="196"/>
    </row>
    <row r="34" spans="1:19" ht="14.45" customHeight="1" outlineLevel="1" x14ac:dyDescent="0.25">
      <c r="A34" s="178"/>
      <c r="B34" s="160" t="s">
        <v>84</v>
      </c>
      <c r="C34" s="32" t="s">
        <v>85</v>
      </c>
      <c r="D34" s="15">
        <f>IF($D$30="No",_xlfn.XLOOKUP(Sc3_variant,$D$75:$G$75,$D$86:$G$86),IF($D$30="Yes",_xlfn.XLOOKUP(Sc3_variant,$D$75:$G$75,$D$92:$G$92),"error"))</f>
        <v>204000</v>
      </c>
      <c r="E34" s="32"/>
      <c r="F34" s="195" t="s">
        <v>86</v>
      </c>
      <c r="G34" s="195"/>
      <c r="H34" s="195"/>
      <c r="I34" s="195"/>
      <c r="J34" s="195" t="s">
        <v>253</v>
      </c>
      <c r="K34" s="195"/>
      <c r="L34" s="195"/>
      <c r="M34" s="195"/>
    </row>
    <row r="35" spans="1:19" ht="14.45" customHeight="1" outlineLevel="1" x14ac:dyDescent="0.25">
      <c r="A35" s="178"/>
      <c r="B35" s="160" t="s">
        <v>88</v>
      </c>
      <c r="C35" s="32" t="s">
        <v>85</v>
      </c>
      <c r="D35" s="15">
        <f>_xlfn.XLOOKUP(Sc3_variant,$D$133:$G$133,$D$139:$G$139)</f>
        <v>1940000</v>
      </c>
      <c r="E35" s="32"/>
      <c r="F35" s="195" t="s">
        <v>89</v>
      </c>
      <c r="G35" s="195"/>
      <c r="H35" s="195"/>
      <c r="I35" s="195"/>
      <c r="J35" s="195" t="s">
        <v>90</v>
      </c>
      <c r="K35" s="195"/>
      <c r="L35" s="195"/>
      <c r="M35" s="195"/>
    </row>
    <row r="36" spans="1:19" ht="37.5" customHeight="1" outlineLevel="1" x14ac:dyDescent="0.25">
      <c r="A36" s="178"/>
      <c r="B36" s="7" t="s">
        <v>91</v>
      </c>
      <c r="C36" s="31" t="s">
        <v>85</v>
      </c>
      <c r="D36" s="164">
        <f>SUM(D34:D35)</f>
        <v>2144000</v>
      </c>
      <c r="E36" s="166">
        <f>_xlfn.XLOOKUP(Sc3_variant,$D$143:$L$143,$D$144:$L$144)</f>
        <v>2144000</v>
      </c>
      <c r="F36" s="195"/>
      <c r="G36" s="195"/>
      <c r="H36" s="195"/>
      <c r="I36" s="195"/>
      <c r="J36" s="195" t="s">
        <v>254</v>
      </c>
      <c r="K36" s="195"/>
      <c r="L36" s="195"/>
      <c r="M36" s="195"/>
    </row>
    <row r="37" spans="1:19" outlineLevel="1" x14ac:dyDescent="0.25">
      <c r="A37" s="178"/>
      <c r="B37" s="4"/>
    </row>
    <row r="38" spans="1:19" outlineLevel="1" x14ac:dyDescent="0.25">
      <c r="A38" s="178"/>
      <c r="B38" s="31" t="s">
        <v>93</v>
      </c>
      <c r="C38" s="31" t="s">
        <v>80</v>
      </c>
      <c r="D38" s="16" t="s">
        <v>81</v>
      </c>
      <c r="E38" s="16" t="s">
        <v>82</v>
      </c>
      <c r="F38" s="196" t="s">
        <v>3</v>
      </c>
      <c r="G38" s="196"/>
      <c r="H38" s="196"/>
      <c r="I38" s="196"/>
      <c r="J38" s="196" t="s">
        <v>83</v>
      </c>
      <c r="K38" s="196"/>
      <c r="L38" s="196"/>
      <c r="M38" s="196"/>
    </row>
    <row r="39" spans="1:19" ht="14.45" customHeight="1" outlineLevel="1" x14ac:dyDescent="0.25">
      <c r="A39" s="178"/>
      <c r="B39" s="122" t="s">
        <v>94</v>
      </c>
      <c r="C39" s="32" t="s">
        <v>85</v>
      </c>
      <c r="D39" s="15">
        <f>_xlfn.XLOOKUP(Sc3_variant,D150:G150,D153:G153)</f>
        <v>0</v>
      </c>
      <c r="E39" s="17">
        <f>D39</f>
        <v>0</v>
      </c>
      <c r="F39" s="195" t="s">
        <v>95</v>
      </c>
      <c r="G39" s="195"/>
      <c r="H39" s="195"/>
      <c r="I39" s="195"/>
      <c r="J39" s="195" t="s">
        <v>255</v>
      </c>
      <c r="K39" s="195"/>
      <c r="L39" s="195"/>
      <c r="M39" s="195"/>
    </row>
    <row r="40" spans="1:19" ht="37.5" customHeight="1" outlineLevel="1" x14ac:dyDescent="0.25">
      <c r="A40" s="178"/>
      <c r="B40" s="122" t="s">
        <v>97</v>
      </c>
      <c r="C40" s="32" t="s">
        <v>85</v>
      </c>
      <c r="D40" s="15">
        <f>_xlfn.XLOOKUP(Sc3_variant,$D$174:$G$174,$D$180:$G$180)</f>
        <v>0</v>
      </c>
      <c r="E40" s="17">
        <f>IF(D31="No",0,IF(D31="Yes",D40,"error"))</f>
        <v>0</v>
      </c>
      <c r="F40" s="195" t="s">
        <v>98</v>
      </c>
      <c r="G40" s="195"/>
      <c r="H40" s="195"/>
      <c r="I40" s="195"/>
      <c r="J40" s="195" t="s">
        <v>99</v>
      </c>
      <c r="K40" s="195"/>
      <c r="L40" s="195"/>
      <c r="M40" s="195"/>
    </row>
    <row r="41" spans="1:19" outlineLevel="1" x14ac:dyDescent="0.25">
      <c r="A41" s="178"/>
      <c r="B41" s="31" t="s">
        <v>100</v>
      </c>
      <c r="C41" s="31" t="s">
        <v>85</v>
      </c>
      <c r="D41" s="164">
        <f>SUM(D39:D40)</f>
        <v>0</v>
      </c>
      <c r="E41" s="164">
        <f>SUM(E39:E40)</f>
        <v>0</v>
      </c>
      <c r="F41" s="195"/>
      <c r="G41" s="195"/>
      <c r="H41" s="195"/>
      <c r="I41" s="195"/>
      <c r="J41" s="195"/>
      <c r="K41" s="195"/>
      <c r="L41" s="195"/>
      <c r="M41" s="195"/>
    </row>
    <row r="42" spans="1:19" outlineLevel="1" x14ac:dyDescent="0.25">
      <c r="A42" s="178"/>
      <c r="B42" s="4"/>
    </row>
    <row r="43" spans="1:19" outlineLevel="1" x14ac:dyDescent="0.25">
      <c r="A43" s="178"/>
      <c r="B43" s="31" t="s">
        <v>101</v>
      </c>
      <c r="C43" s="31" t="s">
        <v>80</v>
      </c>
      <c r="D43" s="16" t="s">
        <v>81</v>
      </c>
      <c r="E43" s="16" t="s">
        <v>82</v>
      </c>
      <c r="F43" s="196" t="s">
        <v>3</v>
      </c>
      <c r="G43" s="196"/>
      <c r="H43" s="196"/>
      <c r="I43" s="196"/>
      <c r="J43" s="196" t="s">
        <v>83</v>
      </c>
      <c r="K43" s="196"/>
      <c r="L43" s="196"/>
      <c r="M43" s="196"/>
    </row>
    <row r="44" spans="1:19" ht="37.5" customHeight="1" outlineLevel="1" x14ac:dyDescent="0.25">
      <c r="A44" s="178"/>
      <c r="B44" s="125" t="s">
        <v>102</v>
      </c>
      <c r="C44" s="32" t="s">
        <v>85</v>
      </c>
      <c r="D44" s="15">
        <f>_xlfn.XLOOKUP(Sc3_variant,D186:G186,D187:G187)</f>
        <v>0</v>
      </c>
      <c r="E44" s="15">
        <f>_xlfn.XLOOKUP(Sc3_variant,D186:G186,D188:G188)</f>
        <v>0</v>
      </c>
      <c r="F44" s="195" t="s">
        <v>103</v>
      </c>
      <c r="G44" s="195"/>
      <c r="H44" s="195"/>
      <c r="I44" s="195"/>
      <c r="J44" s="195" t="s">
        <v>256</v>
      </c>
      <c r="K44" s="195"/>
      <c r="L44" s="195"/>
      <c r="M44" s="195"/>
    </row>
    <row r="45" spans="1:19" ht="14.45" customHeight="1" outlineLevel="1" x14ac:dyDescent="0.25">
      <c r="A45" s="178"/>
      <c r="B45" s="125" t="s">
        <v>105</v>
      </c>
      <c r="C45" s="32" t="s">
        <v>85</v>
      </c>
      <c r="D45" s="15">
        <f>_xlfn.XLOOKUP(Sc3_variant,D192:G192,D193:G193)</f>
        <v>0</v>
      </c>
      <c r="E45" s="15">
        <f>D45</f>
        <v>0</v>
      </c>
      <c r="F45" s="195" t="s">
        <v>106</v>
      </c>
      <c r="G45" s="195"/>
      <c r="H45" s="195"/>
      <c r="I45" s="195"/>
      <c r="J45" s="195" t="s">
        <v>257</v>
      </c>
      <c r="K45" s="195"/>
      <c r="L45" s="195"/>
      <c r="M45" s="195"/>
      <c r="P45" s="168"/>
      <c r="Q45" s="168"/>
      <c r="R45" s="168"/>
      <c r="S45" s="168"/>
    </row>
    <row r="46" spans="1:19" ht="37.5" customHeight="1" outlineLevel="1" x14ac:dyDescent="0.25">
      <c r="A46" s="178"/>
      <c r="B46" s="125" t="s">
        <v>108</v>
      </c>
      <c r="C46" s="32" t="s">
        <v>85</v>
      </c>
      <c r="D46" s="15">
        <f>_xlfn.XLOOKUP(Sc3_variant,D198:G198,D199:G199)</f>
        <v>111120.83162944105</v>
      </c>
      <c r="E46" s="32"/>
      <c r="F46" s="195" t="s">
        <v>109</v>
      </c>
      <c r="G46" s="195"/>
      <c r="H46" s="195"/>
      <c r="I46" s="195"/>
      <c r="J46" s="195" t="s">
        <v>258</v>
      </c>
      <c r="K46" s="195"/>
      <c r="L46" s="195"/>
      <c r="M46" s="195"/>
      <c r="P46" s="168"/>
      <c r="Q46" s="168"/>
      <c r="R46" s="168"/>
      <c r="S46" s="168"/>
    </row>
    <row r="47" spans="1:19" ht="28.9" customHeight="1" outlineLevel="1" x14ac:dyDescent="0.25">
      <c r="A47" s="178"/>
      <c r="B47" s="125" t="s">
        <v>111</v>
      </c>
      <c r="C47" s="32" t="s">
        <v>85</v>
      </c>
      <c r="D47" s="15">
        <f>_xlfn.XLOOKUP(Sc3_variant,D203:G203,D212:G212)</f>
        <v>0</v>
      </c>
      <c r="E47" s="15">
        <f>D47</f>
        <v>0</v>
      </c>
      <c r="F47" s="195" t="s">
        <v>214</v>
      </c>
      <c r="G47" s="195"/>
      <c r="H47" s="195"/>
      <c r="I47" s="195"/>
      <c r="J47" s="195" t="s">
        <v>259</v>
      </c>
      <c r="K47" s="195"/>
      <c r="L47" s="195"/>
      <c r="M47" s="195"/>
      <c r="P47" s="168"/>
      <c r="Q47" s="168"/>
      <c r="R47" s="168"/>
      <c r="S47" s="168"/>
    </row>
    <row r="48" spans="1:19" ht="25.15" customHeight="1" outlineLevel="1" x14ac:dyDescent="0.25">
      <c r="A48" s="178"/>
      <c r="B48" s="125" t="s">
        <v>114</v>
      </c>
      <c r="C48" s="32" t="s">
        <v>85</v>
      </c>
      <c r="D48" s="15">
        <f>-_xlfn.XLOOKUP(Sc3_variant,D216:G216,D239:G239)</f>
        <v>0</v>
      </c>
      <c r="E48" s="15">
        <f>D48</f>
        <v>0</v>
      </c>
      <c r="F48" s="195" t="s">
        <v>115</v>
      </c>
      <c r="G48" s="195"/>
      <c r="H48" s="195"/>
      <c r="I48" s="195"/>
      <c r="J48" s="195" t="s">
        <v>260</v>
      </c>
      <c r="K48" s="195"/>
      <c r="L48" s="195"/>
      <c r="M48" s="195"/>
      <c r="P48" s="168"/>
      <c r="Q48" s="168"/>
      <c r="R48" s="168"/>
      <c r="S48" s="168"/>
    </row>
    <row r="49" spans="1:19" outlineLevel="1" x14ac:dyDescent="0.25">
      <c r="A49" s="178"/>
      <c r="P49" s="168"/>
      <c r="Q49" s="168"/>
      <c r="R49" s="168"/>
      <c r="S49" s="168"/>
    </row>
    <row r="50" spans="1:19" outlineLevel="1" x14ac:dyDescent="0.25">
      <c r="A50" s="178"/>
      <c r="B50" s="31" t="s">
        <v>116</v>
      </c>
      <c r="C50" s="32"/>
      <c r="D50" s="16" t="s">
        <v>81</v>
      </c>
      <c r="E50" s="16" t="s">
        <v>82</v>
      </c>
      <c r="F50" s="196" t="s">
        <v>3</v>
      </c>
      <c r="G50" s="196"/>
      <c r="H50" s="196"/>
      <c r="I50" s="196"/>
      <c r="J50" s="196" t="s">
        <v>83</v>
      </c>
      <c r="K50" s="196"/>
      <c r="L50" s="196"/>
      <c r="M50" s="196"/>
      <c r="P50" s="168"/>
      <c r="Q50" s="168"/>
      <c r="R50" s="168"/>
      <c r="S50" s="168"/>
    </row>
    <row r="51" spans="1:19" outlineLevel="1" x14ac:dyDescent="0.25">
      <c r="A51" s="178"/>
      <c r="B51" s="31" t="s">
        <v>117</v>
      </c>
      <c r="C51" s="31" t="s">
        <v>85</v>
      </c>
      <c r="D51" s="164">
        <f>SUM(D36,D41,D44:D48)</f>
        <v>2255120.8316294411</v>
      </c>
      <c r="E51" s="31"/>
      <c r="F51" s="195"/>
      <c r="G51" s="195"/>
      <c r="H51" s="195"/>
      <c r="I51" s="195"/>
      <c r="J51" s="195"/>
      <c r="K51" s="195"/>
      <c r="L51" s="195"/>
      <c r="M51" s="195"/>
      <c r="P51" s="168"/>
      <c r="Q51" s="168"/>
      <c r="R51" s="168"/>
      <c r="S51" s="168"/>
    </row>
    <row r="52" spans="1:19" outlineLevel="1" x14ac:dyDescent="0.25">
      <c r="A52" s="178"/>
      <c r="B52" s="31" t="s">
        <v>118</v>
      </c>
      <c r="C52" s="31" t="s">
        <v>85</v>
      </c>
      <c r="D52" s="31"/>
      <c r="E52" s="164">
        <f>SUM(E36,E41,E44:E48)</f>
        <v>2144000</v>
      </c>
      <c r="F52" s="195"/>
      <c r="G52" s="195"/>
      <c r="H52" s="195"/>
      <c r="I52" s="195"/>
      <c r="J52" s="195"/>
      <c r="K52" s="195"/>
      <c r="L52" s="195"/>
      <c r="M52" s="195"/>
    </row>
    <row r="53" spans="1:19" outlineLevel="1" x14ac:dyDescent="0.25">
      <c r="B53" s="4"/>
      <c r="F53" s="161"/>
      <c r="G53" s="161"/>
      <c r="H53" s="161"/>
      <c r="I53" s="161"/>
      <c r="J53" s="161"/>
      <c r="K53" s="161"/>
    </row>
    <row r="54" spans="1:19" s="8" customFormat="1" ht="15.75" outlineLevel="1" thickBot="1" x14ac:dyDescent="0.3">
      <c r="A54" s="8" t="str">
        <f>"Other charges (not part of the connection charge)"&amp;" for "&amp;Sc3_variant</f>
        <v>Other charges (not part of the connection charge) for Variant 3a</v>
      </c>
    </row>
    <row r="55" spans="1:19" outlineLevel="1" x14ac:dyDescent="0.25">
      <c r="B55" s="4"/>
      <c r="F55" s="161"/>
      <c r="G55" s="161"/>
      <c r="H55" s="161"/>
      <c r="I55" s="161"/>
      <c r="J55" s="161"/>
      <c r="K55" s="161"/>
    </row>
    <row r="56" spans="1:19" outlineLevel="1" x14ac:dyDescent="0.25">
      <c r="B56" s="31" t="s">
        <v>119</v>
      </c>
      <c r="C56" s="7" t="s">
        <v>80</v>
      </c>
      <c r="D56" s="16"/>
      <c r="E56" s="16" t="s">
        <v>82</v>
      </c>
      <c r="F56" s="196" t="s">
        <v>3</v>
      </c>
      <c r="G56" s="196"/>
      <c r="H56" s="196"/>
      <c r="I56" s="196"/>
      <c r="J56" s="196" t="s">
        <v>83</v>
      </c>
      <c r="K56" s="196"/>
      <c r="L56" s="196"/>
      <c r="M56" s="196"/>
    </row>
    <row r="57" spans="1:19" ht="14.45" customHeight="1" outlineLevel="1" x14ac:dyDescent="0.25">
      <c r="B57" s="32" t="s">
        <v>120</v>
      </c>
      <c r="C57" s="6" t="s">
        <v>85</v>
      </c>
      <c r="D57" s="68"/>
      <c r="E57" s="15">
        <f>_xlfn.XLOOKUP(Sc3_variant,D244:G244,D245:G245)</f>
        <v>0</v>
      </c>
      <c r="F57" s="195" t="s">
        <v>121</v>
      </c>
      <c r="G57" s="195"/>
      <c r="H57" s="195"/>
      <c r="I57" s="195"/>
      <c r="J57" s="195" t="s">
        <v>261</v>
      </c>
      <c r="K57" s="195"/>
      <c r="L57" s="195"/>
      <c r="M57" s="195"/>
    </row>
    <row r="58" spans="1:19" ht="14.45" customHeight="1" outlineLevel="1" x14ac:dyDescent="0.25">
      <c r="B58" s="32" t="s">
        <v>123</v>
      </c>
      <c r="C58" s="6" t="s">
        <v>85</v>
      </c>
      <c r="D58" s="32"/>
      <c r="E58" s="15">
        <f>_xlfn.XLOOKUP(Sc3_variant,D250:G250,D253:G253)</f>
        <v>9540</v>
      </c>
      <c r="F58" s="195" t="s">
        <v>124</v>
      </c>
      <c r="G58" s="195"/>
      <c r="H58" s="195"/>
      <c r="I58" s="195"/>
      <c r="J58" s="195"/>
      <c r="K58" s="195"/>
      <c r="L58" s="195"/>
      <c r="M58" s="195"/>
    </row>
    <row r="59" spans="1:19" outlineLevel="1" x14ac:dyDescent="0.25">
      <c r="B59" s="4"/>
      <c r="F59" s="161"/>
      <c r="G59" s="161"/>
      <c r="H59" s="161"/>
      <c r="I59" s="161"/>
      <c r="J59" s="161"/>
      <c r="K59" s="161"/>
    </row>
    <row r="60" spans="1:19" s="151" customFormat="1" ht="18" thickBot="1" x14ac:dyDescent="0.35">
      <c r="A60" s="151" t="s">
        <v>262</v>
      </c>
    </row>
    <row r="61" spans="1:19" ht="15.75" outlineLevel="1" thickTop="1" x14ac:dyDescent="0.25">
      <c r="B61" s="4"/>
      <c r="F61" s="161"/>
      <c r="G61" s="161"/>
      <c r="H61" s="161"/>
      <c r="I61" s="161"/>
      <c r="J61" s="161"/>
      <c r="K61" s="161"/>
    </row>
    <row r="62" spans="1:19" outlineLevel="1" x14ac:dyDescent="0.25">
      <c r="B62" s="31" t="s">
        <v>126</v>
      </c>
      <c r="C62" s="7" t="s">
        <v>80</v>
      </c>
      <c r="D62" s="16" t="str">
        <f>"Variant"&amp;" "&amp;$A$17</f>
        <v>Variant 3a</v>
      </c>
      <c r="E62" s="16" t="str">
        <f>"Variant"&amp;" "&amp;$A$18</f>
        <v>Variant 3b</v>
      </c>
      <c r="F62" s="37" t="str">
        <f>"Variant"&amp;" "&amp;$A$19</f>
        <v>Variant 3c</v>
      </c>
      <c r="G62" s="37" t="str">
        <f>"Variant"&amp;" "&amp;$A$20</f>
        <v>Variant 3d</v>
      </c>
      <c r="H62" s="202" t="s">
        <v>3</v>
      </c>
      <c r="I62" s="203"/>
      <c r="J62" s="204"/>
      <c r="K62" s="202" t="s">
        <v>83</v>
      </c>
      <c r="L62" s="203"/>
      <c r="M62" s="204"/>
    </row>
    <row r="63" spans="1:19" ht="49.9" customHeight="1" outlineLevel="1" x14ac:dyDescent="0.25">
      <c r="B63" s="32" t="s">
        <v>127</v>
      </c>
      <c r="C63" s="6" t="s">
        <v>85</v>
      </c>
      <c r="D63" s="17">
        <f>IF(D76="No",D86,IF(D76="Yes",D92,"error"))+SUM(D139,D153,D180,D187,D193,D199,D212,-D239)</f>
        <v>2255120.8316294411</v>
      </c>
      <c r="E63" s="17">
        <f>IF(E76="No",E86,IF(E76="Yes",E92,"error"))+SUM(E139,E153,E180,E187,E193,E199,E212,-E239)</f>
        <v>6619822.9273563847</v>
      </c>
      <c r="F63" s="17">
        <f>IF(F76="No",F86,IF(F76="Yes",F92,"error"))+SUM(F139,F153,F180,F187,F193,F199,F212,-F239)</f>
        <v>1995120.8316294411</v>
      </c>
      <c r="G63" s="17">
        <f>IF(G76="No",G86,IF(G76="Yes",G92,"error"))+SUM(G139,G153,G180,G187,G193,G199,G212,-G239)</f>
        <v>2275120.8316294411</v>
      </c>
      <c r="H63" s="208" t="s">
        <v>128</v>
      </c>
      <c r="I63" s="209"/>
      <c r="J63" s="210"/>
      <c r="K63" s="208"/>
      <c r="L63" s="209"/>
      <c r="M63" s="210"/>
    </row>
    <row r="64" spans="1:19" ht="62.65" customHeight="1" outlineLevel="1" x14ac:dyDescent="0.25">
      <c r="B64" s="32" t="s">
        <v>129</v>
      </c>
      <c r="C64" s="6" t="s">
        <v>85</v>
      </c>
      <c r="D64" s="17">
        <f>SUM(D144,D153,D188,D193,D212)+IF(D67="Yes",D180,IF(D67="No",0,"error"))-D239</f>
        <v>2144000</v>
      </c>
      <c r="E64" s="17">
        <f>SUM(E144,E153,E188,E193,E212)+IF(E67="Yes",E180,IF(E67="No",0,"error"))-E239</f>
        <v>3289337.2073019212</v>
      </c>
      <c r="F64" s="17">
        <f>SUM(F144,F153,F188,F193,F212)+IF(F67="Yes",F180,IF(F67="No",0,"error"))-F239</f>
        <v>1884000</v>
      </c>
      <c r="G64" s="17">
        <f>SUM(G144,G153,G188,G193,G212)+IF(G67="Yes",G180,IF(G67="No",0,"error"))-G239</f>
        <v>2164000</v>
      </c>
      <c r="H64" s="208" t="s">
        <v>130</v>
      </c>
      <c r="I64" s="209"/>
      <c r="J64" s="210"/>
      <c r="K64" s="208"/>
      <c r="L64" s="209"/>
      <c r="M64" s="210"/>
    </row>
    <row r="65" spans="1:13" outlineLevel="1" x14ac:dyDescent="0.25">
      <c r="B65" s="4"/>
      <c r="H65" s="161"/>
    </row>
    <row r="66" spans="1:13" outlineLevel="1" x14ac:dyDescent="0.25">
      <c r="B66" s="207" t="s">
        <v>131</v>
      </c>
      <c r="C66" s="207"/>
      <c r="D66" s="16" t="str">
        <f>"Variant"&amp;" "&amp;$A$17</f>
        <v>Variant 3a</v>
      </c>
      <c r="E66" s="16" t="str">
        <f>"Variant"&amp;" "&amp;$A$18</f>
        <v>Variant 3b</v>
      </c>
      <c r="F66" s="37" t="str">
        <f>"Variant"&amp;" "&amp;$A$19</f>
        <v>Variant 3c</v>
      </c>
      <c r="G66" s="37" t="str">
        <f>"Variant"&amp;" "&amp;$A$20</f>
        <v>Variant 3d</v>
      </c>
      <c r="H66" s="202" t="s">
        <v>83</v>
      </c>
      <c r="I66" s="203"/>
      <c r="J66" s="203"/>
      <c r="K66" s="203"/>
      <c r="L66" s="203"/>
      <c r="M66" s="204"/>
    </row>
    <row r="67" spans="1:13" ht="14.45" customHeight="1" outlineLevel="1" x14ac:dyDescent="0.25">
      <c r="B67" s="196" t="s">
        <v>132</v>
      </c>
      <c r="C67" s="196"/>
      <c r="D67" s="39" t="s">
        <v>134</v>
      </c>
      <c r="E67" s="39" t="s">
        <v>134</v>
      </c>
      <c r="F67" s="39" t="s">
        <v>134</v>
      </c>
      <c r="G67" s="39" t="s">
        <v>134</v>
      </c>
      <c r="H67" s="221" t="s">
        <v>135</v>
      </c>
      <c r="I67" s="222"/>
      <c r="J67" s="222"/>
      <c r="K67" s="222"/>
      <c r="L67" s="222"/>
      <c r="M67" s="223"/>
    </row>
    <row r="68" spans="1:13" outlineLevel="1" x14ac:dyDescent="0.25">
      <c r="B68" s="4"/>
      <c r="F68" s="161"/>
      <c r="G68" s="161"/>
      <c r="H68" s="161"/>
      <c r="I68" s="161"/>
      <c r="J68" s="161"/>
      <c r="K68" s="161"/>
    </row>
    <row r="69" spans="1:13" s="151" customFormat="1" ht="18" thickBot="1" x14ac:dyDescent="0.35">
      <c r="A69" s="151" t="s">
        <v>263</v>
      </c>
    </row>
    <row r="70" spans="1:13" ht="15.75" outlineLevel="1" thickTop="1" x14ac:dyDescent="0.25">
      <c r="B70" s="4"/>
      <c r="F70" s="161"/>
      <c r="G70" s="161"/>
      <c r="H70" s="161"/>
      <c r="I70" s="161"/>
      <c r="J70" s="161"/>
      <c r="K70" s="161"/>
    </row>
    <row r="71" spans="1:13" s="8" customFormat="1" ht="15.75" outlineLevel="1" thickBot="1" x14ac:dyDescent="0.3">
      <c r="A71" s="8" t="s">
        <v>137</v>
      </c>
    </row>
    <row r="72" spans="1:13" outlineLevel="1" x14ac:dyDescent="0.25">
      <c r="B72" s="4"/>
      <c r="F72" s="161"/>
      <c r="G72" s="161"/>
      <c r="H72" s="161"/>
      <c r="I72" s="161"/>
      <c r="J72" s="161"/>
      <c r="K72" s="161"/>
    </row>
    <row r="73" spans="1:13" outlineLevel="1" x14ac:dyDescent="0.25">
      <c r="A73" s="11" t="s">
        <v>138</v>
      </c>
      <c r="B73" s="5"/>
    </row>
    <row r="74" spans="1:13" outlineLevel="1" x14ac:dyDescent="0.25">
      <c r="B74" s="4"/>
      <c r="F74" s="161"/>
      <c r="G74" s="161"/>
      <c r="H74" s="161"/>
      <c r="I74" s="161"/>
      <c r="J74" s="161"/>
      <c r="K74" s="161"/>
    </row>
    <row r="75" spans="1:13" outlineLevel="2" x14ac:dyDescent="0.25">
      <c r="A75" s="3"/>
      <c r="D75" s="37" t="str">
        <f>"Variant"&amp;" "&amp;$A$17</f>
        <v>Variant 3a</v>
      </c>
      <c r="E75" s="37" t="str">
        <f>"Variant"&amp;" "&amp;$A$18</f>
        <v>Variant 3b</v>
      </c>
      <c r="F75" s="37" t="str">
        <f>"Variant"&amp;" "&amp;$A$19</f>
        <v>Variant 3c</v>
      </c>
      <c r="G75" s="37" t="str">
        <f>"Variant"&amp;" "&amp;$A$20</f>
        <v>Variant 3d</v>
      </c>
      <c r="H75" s="202" t="s">
        <v>83</v>
      </c>
      <c r="I75" s="203"/>
      <c r="J75" s="203"/>
      <c r="K75" s="203"/>
      <c r="L75" s="203"/>
      <c r="M75" s="204"/>
    </row>
    <row r="76" spans="1:13" ht="25.15" customHeight="1" outlineLevel="2" x14ac:dyDescent="0.25">
      <c r="A76" s="3"/>
      <c r="B76" s="31" t="s">
        <v>77</v>
      </c>
      <c r="C76" s="32"/>
      <c r="D76" s="39" t="s">
        <v>133</v>
      </c>
      <c r="E76" s="39" t="s">
        <v>133</v>
      </c>
      <c r="F76" s="39" t="s">
        <v>133</v>
      </c>
      <c r="G76" s="39" t="s">
        <v>133</v>
      </c>
      <c r="H76" s="221" t="s">
        <v>139</v>
      </c>
      <c r="I76" s="222"/>
      <c r="J76" s="222"/>
      <c r="K76" s="222"/>
      <c r="L76" s="222"/>
      <c r="M76" s="223"/>
    </row>
    <row r="77" spans="1:13" outlineLevel="2" x14ac:dyDescent="0.25">
      <c r="A77" s="3"/>
    </row>
    <row r="78" spans="1:13" outlineLevel="2" x14ac:dyDescent="0.25">
      <c r="B78" s="21" t="s">
        <v>140</v>
      </c>
      <c r="C78" s="31" t="s">
        <v>80</v>
      </c>
      <c r="D78" s="37" t="str">
        <f>"Variant"&amp;" "&amp;$A$17</f>
        <v>Variant 3a</v>
      </c>
      <c r="E78" s="37" t="str">
        <f>"Variant"&amp;" "&amp;$A$18</f>
        <v>Variant 3b</v>
      </c>
      <c r="F78" s="37" t="str">
        <f>"Variant"&amp;" "&amp;$A$19</f>
        <v>Variant 3c</v>
      </c>
      <c r="G78" s="37" t="str">
        <f>"Variant"&amp;" "&amp;$A$20</f>
        <v>Variant 3d</v>
      </c>
      <c r="H78" s="202" t="s">
        <v>83</v>
      </c>
      <c r="I78" s="203"/>
      <c r="J78" s="203"/>
      <c r="K78" s="203"/>
      <c r="L78" s="203"/>
      <c r="M78" s="204"/>
    </row>
    <row r="79" spans="1:13" ht="14.45" customHeight="1" outlineLevel="2" x14ac:dyDescent="0.25">
      <c r="B79" s="19" t="s">
        <v>264</v>
      </c>
      <c r="C79" s="32" t="s">
        <v>85</v>
      </c>
      <c r="D79" s="9">
        <v>119000</v>
      </c>
      <c r="E79" s="9">
        <v>119000</v>
      </c>
      <c r="F79" s="9">
        <v>119000</v>
      </c>
      <c r="G79" s="9">
        <v>119000</v>
      </c>
      <c r="H79" s="221" t="s">
        <v>265</v>
      </c>
      <c r="I79" s="222"/>
      <c r="J79" s="222"/>
      <c r="K79" s="222"/>
      <c r="L79" s="222"/>
      <c r="M79" s="223"/>
    </row>
    <row r="80" spans="1:13" ht="14.45" customHeight="1" outlineLevel="2" x14ac:dyDescent="0.25">
      <c r="B80" s="19" t="s">
        <v>266</v>
      </c>
      <c r="C80" s="32" t="s">
        <v>85</v>
      </c>
      <c r="D80" s="9">
        <v>7000</v>
      </c>
      <c r="E80" s="9">
        <v>7000</v>
      </c>
      <c r="F80" s="9">
        <v>7000</v>
      </c>
      <c r="G80" s="9">
        <v>7000</v>
      </c>
      <c r="H80" s="221" t="s">
        <v>267</v>
      </c>
      <c r="I80" s="222"/>
      <c r="J80" s="222"/>
      <c r="K80" s="222"/>
      <c r="L80" s="222"/>
      <c r="M80" s="223"/>
    </row>
    <row r="81" spans="1:13" ht="14.45" customHeight="1" outlineLevel="2" x14ac:dyDescent="0.25">
      <c r="B81" s="19" t="s">
        <v>268</v>
      </c>
      <c r="C81" s="32" t="s">
        <v>85</v>
      </c>
      <c r="D81" s="9">
        <v>78000</v>
      </c>
      <c r="E81" s="9">
        <v>78000</v>
      </c>
      <c r="F81" s="9">
        <v>78000</v>
      </c>
      <c r="G81" s="9">
        <v>78000</v>
      </c>
      <c r="H81" s="221" t="s">
        <v>269</v>
      </c>
      <c r="I81" s="222"/>
      <c r="J81" s="222"/>
      <c r="K81" s="222"/>
      <c r="L81" s="222"/>
      <c r="M81" s="223"/>
    </row>
    <row r="82" spans="1:13" ht="14.45" customHeight="1" outlineLevel="2" x14ac:dyDescent="0.25">
      <c r="B82" s="19" t="s">
        <v>270</v>
      </c>
      <c r="C82" s="32" t="s">
        <v>85</v>
      </c>
      <c r="D82" s="9"/>
      <c r="E82" s="9">
        <v>2157000</v>
      </c>
      <c r="F82" s="9"/>
      <c r="G82" s="9"/>
      <c r="H82" s="221" t="s">
        <v>271</v>
      </c>
      <c r="I82" s="222"/>
      <c r="J82" s="222"/>
      <c r="K82" s="222"/>
      <c r="L82" s="222"/>
      <c r="M82" s="223"/>
    </row>
    <row r="83" spans="1:13" ht="14.45" customHeight="1" outlineLevel="2" x14ac:dyDescent="0.25">
      <c r="B83" s="19" t="s">
        <v>272</v>
      </c>
      <c r="C83" s="32" t="s">
        <v>85</v>
      </c>
      <c r="D83" s="9"/>
      <c r="E83" s="9">
        <v>315000</v>
      </c>
      <c r="F83" s="9"/>
      <c r="G83" s="9"/>
      <c r="H83" s="221" t="s">
        <v>273</v>
      </c>
      <c r="I83" s="222"/>
      <c r="J83" s="222"/>
      <c r="K83" s="222"/>
      <c r="L83" s="222"/>
      <c r="M83" s="223"/>
    </row>
    <row r="84" spans="1:13" ht="14.45" customHeight="1" outlineLevel="2" x14ac:dyDescent="0.25">
      <c r="B84" s="19" t="s">
        <v>274</v>
      </c>
      <c r="C84" s="32" t="s">
        <v>85</v>
      </c>
      <c r="D84" s="9"/>
      <c r="E84" s="9">
        <v>86400</v>
      </c>
      <c r="F84" s="9"/>
      <c r="G84" s="9"/>
      <c r="H84" s="221" t="s">
        <v>275</v>
      </c>
      <c r="I84" s="222"/>
      <c r="J84" s="222"/>
      <c r="K84" s="222"/>
      <c r="L84" s="222"/>
      <c r="M84" s="223"/>
    </row>
    <row r="85" spans="1:13" ht="14.45" customHeight="1" outlineLevel="2" x14ac:dyDescent="0.25">
      <c r="B85" s="19" t="s">
        <v>276</v>
      </c>
      <c r="C85" s="32" t="s">
        <v>85</v>
      </c>
      <c r="D85" s="9"/>
      <c r="E85" s="9">
        <f>144000 *2</f>
        <v>288000</v>
      </c>
      <c r="F85" s="9"/>
      <c r="G85" s="9"/>
      <c r="H85" s="221" t="s">
        <v>277</v>
      </c>
      <c r="I85" s="222"/>
      <c r="J85" s="222"/>
      <c r="K85" s="222"/>
      <c r="L85" s="222"/>
      <c r="M85" s="223"/>
    </row>
    <row r="86" spans="1:13" ht="15.75" outlineLevel="2" thickBot="1" x14ac:dyDescent="0.3">
      <c r="B86" s="50" t="s">
        <v>149</v>
      </c>
      <c r="C86" s="49" t="s">
        <v>85</v>
      </c>
      <c r="D86" s="51">
        <f>SUM(D79:D85)</f>
        <v>204000</v>
      </c>
      <c r="E86" s="51">
        <f>SUM(E79:E85)</f>
        <v>3050400</v>
      </c>
      <c r="F86" s="51">
        <f>SUM(F79:F85)</f>
        <v>204000</v>
      </c>
      <c r="G86" s="51">
        <f>SUM(G79:G85)</f>
        <v>204000</v>
      </c>
    </row>
    <row r="87" spans="1:13" ht="15.75" outlineLevel="2" thickTop="1" x14ac:dyDescent="0.25">
      <c r="B87" s="34"/>
      <c r="C87" s="4"/>
      <c r="D87" s="47"/>
      <c r="E87" s="47"/>
      <c r="F87" s="47"/>
      <c r="G87" s="47"/>
    </row>
    <row r="88" spans="1:13" outlineLevel="2" x14ac:dyDescent="0.25">
      <c r="B88" s="18" t="s">
        <v>150</v>
      </c>
      <c r="C88" s="31" t="s">
        <v>80</v>
      </c>
      <c r="D88" s="37" t="str">
        <f>"Variant"&amp;" "&amp;$A$17</f>
        <v>Variant 3a</v>
      </c>
      <c r="E88" s="37" t="str">
        <f>"Variant"&amp;" "&amp;$A$18</f>
        <v>Variant 3b</v>
      </c>
      <c r="F88" s="37" t="str">
        <f>"Variant"&amp;" "&amp;$A$19</f>
        <v>Variant 3c</v>
      </c>
      <c r="G88" s="37" t="str">
        <f>"Variant"&amp;" "&amp;$A$20</f>
        <v>Variant 3d</v>
      </c>
      <c r="H88" s="202" t="s">
        <v>83</v>
      </c>
      <c r="I88" s="203"/>
      <c r="J88" s="203"/>
      <c r="K88" s="203"/>
      <c r="L88" s="203"/>
      <c r="M88" s="204"/>
    </row>
    <row r="89" spans="1:13" ht="28.9" customHeight="1" outlineLevel="2" x14ac:dyDescent="0.25">
      <c r="B89" s="19"/>
      <c r="C89" s="32" t="s">
        <v>85</v>
      </c>
      <c r="D89" s="9"/>
      <c r="E89" s="9"/>
      <c r="F89" s="9"/>
      <c r="G89" s="9"/>
      <c r="H89" s="221"/>
      <c r="I89" s="222"/>
      <c r="J89" s="222"/>
      <c r="K89" s="222"/>
      <c r="L89" s="222"/>
      <c r="M89" s="223"/>
    </row>
    <row r="90" spans="1:13" outlineLevel="2" x14ac:dyDescent="0.25">
      <c r="B90" s="19"/>
      <c r="C90" s="32" t="s">
        <v>85</v>
      </c>
      <c r="D90" s="9"/>
      <c r="E90" s="9"/>
      <c r="F90" s="9"/>
      <c r="G90" s="9"/>
      <c r="H90" s="221"/>
      <c r="I90" s="222"/>
      <c r="J90" s="222"/>
      <c r="K90" s="222"/>
      <c r="L90" s="222"/>
      <c r="M90" s="223"/>
    </row>
    <row r="91" spans="1:13" outlineLevel="2" x14ac:dyDescent="0.25">
      <c r="B91" s="19"/>
      <c r="C91" s="32" t="s">
        <v>85</v>
      </c>
      <c r="D91" s="9"/>
      <c r="E91" s="9"/>
      <c r="F91" s="9"/>
      <c r="G91" s="9"/>
      <c r="H91" s="221"/>
      <c r="I91" s="222"/>
      <c r="J91" s="222"/>
      <c r="K91" s="222"/>
      <c r="L91" s="222"/>
      <c r="M91" s="223"/>
    </row>
    <row r="92" spans="1:13" ht="15.75" outlineLevel="2" thickBot="1" x14ac:dyDescent="0.3">
      <c r="B92" s="50" t="s">
        <v>152</v>
      </c>
      <c r="C92" s="49" t="s">
        <v>85</v>
      </c>
      <c r="D92" s="51">
        <f>SUM(D89:D91)</f>
        <v>0</v>
      </c>
      <c r="E92" s="51">
        <f>SUM(E89:E91)</f>
        <v>0</v>
      </c>
      <c r="F92" s="51">
        <f>SUM(F89:F91)</f>
        <v>0</v>
      </c>
      <c r="G92" s="51">
        <f>SUM(G89:G91)</f>
        <v>0</v>
      </c>
    </row>
    <row r="93" spans="1:13" ht="15.75" outlineLevel="2" thickTop="1" x14ac:dyDescent="0.25">
      <c r="B93" s="34"/>
      <c r="C93" s="4"/>
      <c r="D93" s="47"/>
      <c r="E93" s="47"/>
      <c r="F93" s="47"/>
      <c r="G93" s="47"/>
      <c r="H93" s="47"/>
      <c r="I93" s="47"/>
      <c r="J93" s="47"/>
      <c r="K93" s="47"/>
      <c r="L93" s="47"/>
    </row>
    <row r="94" spans="1:13" outlineLevel="1" x14ac:dyDescent="0.25">
      <c r="A94" s="11" t="s">
        <v>153</v>
      </c>
      <c r="B94" s="5"/>
    </row>
    <row r="95" spans="1:13" outlineLevel="1" x14ac:dyDescent="0.25">
      <c r="A95" s="11"/>
      <c r="B95" s="5"/>
    </row>
    <row r="96" spans="1:13" outlineLevel="1" x14ac:dyDescent="0.25">
      <c r="C96" s="31" t="s">
        <v>80</v>
      </c>
      <c r="D96" s="37" t="str">
        <f>"Variant"&amp;" "&amp;$A$17</f>
        <v>Variant 3a</v>
      </c>
      <c r="E96" s="37" t="str">
        <f>"Variant"&amp;" "&amp;$A$18</f>
        <v>Variant 3b</v>
      </c>
      <c r="F96" s="37" t="str">
        <f>"Variant"&amp;" "&amp;$A$19</f>
        <v>Variant 3c</v>
      </c>
      <c r="G96" s="37" t="str">
        <f>"Variant"&amp;" "&amp;$A$20</f>
        <v>Variant 3d</v>
      </c>
      <c r="H96" s="202" t="s">
        <v>83</v>
      </c>
      <c r="I96" s="203"/>
      <c r="J96" s="203"/>
      <c r="K96" s="203"/>
      <c r="L96" s="203"/>
      <c r="M96" s="204"/>
    </row>
    <row r="97" spans="2:13" ht="14.45" customHeight="1" outlineLevel="1" x14ac:dyDescent="0.25">
      <c r="B97" s="31" t="s">
        <v>154</v>
      </c>
      <c r="C97" s="32" t="s">
        <v>155</v>
      </c>
      <c r="D97" s="33" t="s">
        <v>156</v>
      </c>
      <c r="E97" s="33" t="s">
        <v>156</v>
      </c>
      <c r="F97" s="33" t="s">
        <v>156</v>
      </c>
      <c r="G97" s="33" t="s">
        <v>156</v>
      </c>
      <c r="H97" s="221" t="s">
        <v>158</v>
      </c>
      <c r="I97" s="222"/>
      <c r="J97" s="222"/>
      <c r="K97" s="222"/>
      <c r="L97" s="222"/>
      <c r="M97" s="223"/>
    </row>
    <row r="98" spans="2:13" outlineLevel="1" x14ac:dyDescent="0.25"/>
    <row r="99" spans="2:13" outlineLevel="1" x14ac:dyDescent="0.25">
      <c r="B99" s="31" t="s">
        <v>159</v>
      </c>
      <c r="C99" s="31" t="s">
        <v>80</v>
      </c>
      <c r="D99" s="37" t="str">
        <f>"Variant"&amp;" "&amp;$A$17</f>
        <v>Variant 3a</v>
      </c>
      <c r="E99" s="37" t="str">
        <f>"Variant"&amp;" "&amp;$A$18</f>
        <v>Variant 3b</v>
      </c>
      <c r="F99" s="37" t="str">
        <f>"Variant"&amp;" "&amp;$A$19</f>
        <v>Variant 3c</v>
      </c>
      <c r="G99" s="37" t="str">
        <f>"Variant"&amp;" "&amp;$A$20</f>
        <v>Variant 3d</v>
      </c>
      <c r="H99" s="202" t="s">
        <v>83</v>
      </c>
      <c r="I99" s="203"/>
      <c r="J99" s="203"/>
      <c r="K99" s="203"/>
      <c r="L99" s="203"/>
      <c r="M99" s="204"/>
    </row>
    <row r="100" spans="2:13" ht="14.45" customHeight="1" outlineLevel="1" x14ac:dyDescent="0.25">
      <c r="B100" s="19" t="s">
        <v>160</v>
      </c>
      <c r="C100" s="32" t="s">
        <v>161</v>
      </c>
      <c r="D100" s="15">
        <f>IF(D$97="","",_xlfn.XLOOKUP(D$97,'Network costing zones'!$D$4:$F$4,'Network costing zones'!$D5:$F5,"error"))</f>
        <v>240</v>
      </c>
      <c r="E100" s="15">
        <f>IF(E$97="","",_xlfn.XLOOKUP(E$97,'Network costing zones'!$D$4:$F$4,'Network costing zones'!$D5:$F5,"error"))</f>
        <v>240</v>
      </c>
      <c r="F100" s="15">
        <f>IF(F$97="","",_xlfn.XLOOKUP(F$97,'Network costing zones'!$D$4:$F$4,'Network costing zones'!$D5:$F5,"error"))</f>
        <v>240</v>
      </c>
      <c r="G100" s="15">
        <f>IF(G$97="","",_xlfn.XLOOKUP(G$97,'Network costing zones'!$D$4:$F$4,'Network costing zones'!$D5:$F5,"error"))</f>
        <v>240</v>
      </c>
      <c r="H100" s="201" t="s">
        <v>162</v>
      </c>
      <c r="I100" s="201"/>
      <c r="J100" s="201"/>
      <c r="K100" s="201"/>
      <c r="L100" s="201"/>
      <c r="M100" s="201"/>
    </row>
    <row r="101" spans="2:13" outlineLevel="1" x14ac:dyDescent="0.25">
      <c r="B101" s="19" t="s">
        <v>163</v>
      </c>
      <c r="C101" s="32" t="s">
        <v>161</v>
      </c>
      <c r="D101" s="15">
        <f>IF(D$97="","",_xlfn.XLOOKUP(D$97,'Network costing zones'!$D$4:$F$4,'Network costing zones'!$D6:$F6,"error"))</f>
        <v>600</v>
      </c>
      <c r="E101" s="15">
        <f>IF(E$97="","",_xlfn.XLOOKUP(E$97,'Network costing zones'!$D$4:$F$4,'Network costing zones'!$D6:$F6,"error"))</f>
        <v>600</v>
      </c>
      <c r="F101" s="15">
        <f>IF(F$97="","",_xlfn.XLOOKUP(F$97,'Network costing zones'!$D$4:$F$4,'Network costing zones'!$D6:$F6,"error"))</f>
        <v>600</v>
      </c>
      <c r="G101" s="15">
        <f>IF(G$97="","",_xlfn.XLOOKUP(G$97,'Network costing zones'!$D$4:$F$4,'Network costing zones'!$D6:$F6,"error"))</f>
        <v>600</v>
      </c>
      <c r="H101" s="201"/>
      <c r="I101" s="201"/>
      <c r="J101" s="201"/>
      <c r="K101" s="201"/>
      <c r="L101" s="201"/>
      <c r="M101" s="201"/>
    </row>
    <row r="102" spans="2:13" outlineLevel="1" x14ac:dyDescent="0.25">
      <c r="B102" s="19" t="s">
        <v>164</v>
      </c>
      <c r="C102" s="32" t="s">
        <v>161</v>
      </c>
      <c r="D102" s="15">
        <f>IF(D$97="","",_xlfn.XLOOKUP(D$97,'Network costing zones'!$D$4:$F$4,'Network costing zones'!$D7:$F7,"error"))</f>
        <v>85</v>
      </c>
      <c r="E102" s="15">
        <f>IF(E$97="","",_xlfn.XLOOKUP(E$97,'Network costing zones'!$D$4:$F$4,'Network costing zones'!$D7:$F7,"error"))</f>
        <v>85</v>
      </c>
      <c r="F102" s="15">
        <f>IF(F$97="","",_xlfn.XLOOKUP(F$97,'Network costing zones'!$D$4:$F$4,'Network costing zones'!$D7:$F7,"error"))</f>
        <v>85</v>
      </c>
      <c r="G102" s="15">
        <f>IF(G$97="","",_xlfn.XLOOKUP(G$97,'Network costing zones'!$D$4:$F$4,'Network costing zones'!$D7:$F7,"error"))</f>
        <v>85</v>
      </c>
      <c r="H102" s="201"/>
      <c r="I102" s="201"/>
      <c r="J102" s="201"/>
      <c r="K102" s="201"/>
      <c r="L102" s="201"/>
      <c r="M102" s="201"/>
    </row>
    <row r="103" spans="2:13" outlineLevel="1" x14ac:dyDescent="0.25">
      <c r="B103" s="19" t="s">
        <v>165</v>
      </c>
      <c r="C103" s="32" t="s">
        <v>161</v>
      </c>
      <c r="D103" s="15">
        <f>IF(D$97="","",_xlfn.XLOOKUP(D$97,'Network costing zones'!$D$4:$F$4,'Network costing zones'!$D8:$F8,"error"))</f>
        <v>380</v>
      </c>
      <c r="E103" s="15">
        <f>IF(E$97="","",_xlfn.XLOOKUP(E$97,'Network costing zones'!$D$4:$F$4,'Network costing zones'!$D8:$F8,"error"))</f>
        <v>380</v>
      </c>
      <c r="F103" s="15">
        <f>IF(F$97="","",_xlfn.XLOOKUP(F$97,'Network costing zones'!$D$4:$F$4,'Network costing zones'!$D8:$F8,"error"))</f>
        <v>380</v>
      </c>
      <c r="G103" s="15">
        <f>IF(G$97="","",_xlfn.XLOOKUP(G$97,'Network costing zones'!$D$4:$F$4,'Network costing zones'!$D8:$F8,"error"))</f>
        <v>380</v>
      </c>
      <c r="H103" s="201"/>
      <c r="I103" s="201"/>
      <c r="J103" s="201"/>
      <c r="K103" s="201"/>
      <c r="L103" s="201"/>
      <c r="M103" s="201"/>
    </row>
    <row r="104" spans="2:13" outlineLevel="1" x14ac:dyDescent="0.25">
      <c r="B104" s="19" t="s">
        <v>166</v>
      </c>
      <c r="C104" s="32" t="s">
        <v>161</v>
      </c>
      <c r="D104" s="15">
        <f>IF(D$97="","",_xlfn.XLOOKUP(D$97,'Network costing zones'!$D$4:$F$4,'Network costing zones'!$D9:$F9,"error"))</f>
        <v>140</v>
      </c>
      <c r="E104" s="15">
        <f>IF(E$97="","",_xlfn.XLOOKUP(E$97,'Network costing zones'!$D$4:$F$4,'Network costing zones'!$D9:$F9,"error"))</f>
        <v>140</v>
      </c>
      <c r="F104" s="15">
        <f>IF(F$97="","",_xlfn.XLOOKUP(F$97,'Network costing zones'!$D$4:$F$4,'Network costing zones'!$D9:$F9,"error"))</f>
        <v>140</v>
      </c>
      <c r="G104" s="15">
        <f>IF(G$97="","",_xlfn.XLOOKUP(G$97,'Network costing zones'!$D$4:$F$4,'Network costing zones'!$D9:$F9,"error"))</f>
        <v>140</v>
      </c>
      <c r="H104" s="201"/>
      <c r="I104" s="201"/>
      <c r="J104" s="201"/>
      <c r="K104" s="201"/>
      <c r="L104" s="201"/>
      <c r="M104" s="201"/>
    </row>
    <row r="105" spans="2:13" outlineLevel="1" x14ac:dyDescent="0.25"/>
    <row r="106" spans="2:13" ht="30" outlineLevel="1" x14ac:dyDescent="0.25">
      <c r="B106" s="7" t="s">
        <v>167</v>
      </c>
      <c r="C106" s="31" t="s">
        <v>80</v>
      </c>
      <c r="D106" s="37" t="str">
        <f>"Variant"&amp;" "&amp;$A$17</f>
        <v>Variant 3a</v>
      </c>
      <c r="E106" s="37" t="str">
        <f>"Variant"&amp;" "&amp;$A$18</f>
        <v>Variant 3b</v>
      </c>
      <c r="F106" s="37" t="str">
        <f>"Variant"&amp;" "&amp;$A$19</f>
        <v>Variant 3c</v>
      </c>
      <c r="G106" s="37" t="str">
        <f>"Variant"&amp;" "&amp;$A$20</f>
        <v>Variant 3d</v>
      </c>
      <c r="H106" s="202" t="s">
        <v>83</v>
      </c>
      <c r="I106" s="203"/>
      <c r="J106" s="203"/>
      <c r="K106" s="203"/>
      <c r="L106" s="203"/>
      <c r="M106" s="204"/>
    </row>
    <row r="107" spans="2:13" ht="14.45" customHeight="1" outlineLevel="1" x14ac:dyDescent="0.25">
      <c r="B107" s="19" t="s">
        <v>160</v>
      </c>
      <c r="C107" s="32" t="s">
        <v>168</v>
      </c>
      <c r="D107" s="9">
        <v>0</v>
      </c>
      <c r="E107" s="9">
        <v>0</v>
      </c>
      <c r="F107" s="9">
        <v>0</v>
      </c>
      <c r="G107" s="9">
        <v>0</v>
      </c>
      <c r="H107" s="201" t="s">
        <v>229</v>
      </c>
      <c r="I107" s="201"/>
      <c r="J107" s="201"/>
      <c r="K107" s="201"/>
      <c r="L107" s="201"/>
      <c r="M107" s="201"/>
    </row>
    <row r="108" spans="2:13" outlineLevel="1" x14ac:dyDescent="0.25">
      <c r="B108" s="19" t="s">
        <v>163</v>
      </c>
      <c r="C108" s="32" t="s">
        <v>168</v>
      </c>
      <c r="D108" s="9">
        <v>0</v>
      </c>
      <c r="E108" s="9">
        <v>0</v>
      </c>
      <c r="F108" s="9">
        <v>0</v>
      </c>
      <c r="G108" s="9">
        <v>0</v>
      </c>
      <c r="H108" s="201"/>
      <c r="I108" s="201"/>
      <c r="J108" s="201"/>
      <c r="K108" s="201"/>
      <c r="L108" s="201"/>
      <c r="M108" s="201"/>
    </row>
    <row r="109" spans="2:13" outlineLevel="1" x14ac:dyDescent="0.25">
      <c r="B109" s="19" t="s">
        <v>164</v>
      </c>
      <c r="C109" s="32" t="s">
        <v>168</v>
      </c>
      <c r="D109" s="9">
        <v>0</v>
      </c>
      <c r="E109" s="9">
        <v>0</v>
      </c>
      <c r="F109" s="9">
        <v>0</v>
      </c>
      <c r="G109" s="9">
        <v>0</v>
      </c>
      <c r="H109" s="201"/>
      <c r="I109" s="201"/>
      <c r="J109" s="201"/>
      <c r="K109" s="201"/>
      <c r="L109" s="201"/>
      <c r="M109" s="201"/>
    </row>
    <row r="110" spans="2:13" x14ac:dyDescent="0.25">
      <c r="B110" s="19" t="s">
        <v>165</v>
      </c>
      <c r="C110" s="32" t="s">
        <v>168</v>
      </c>
      <c r="D110" s="9">
        <v>4000</v>
      </c>
      <c r="E110" s="9">
        <v>0</v>
      </c>
      <c r="F110" s="9">
        <v>4000</v>
      </c>
      <c r="G110" s="9">
        <v>4000</v>
      </c>
      <c r="H110" s="201"/>
      <c r="I110" s="201"/>
      <c r="J110" s="201"/>
      <c r="K110" s="201"/>
      <c r="L110" s="201"/>
      <c r="M110" s="201"/>
    </row>
    <row r="111" spans="2:13" x14ac:dyDescent="0.25">
      <c r="B111" s="19" t="s">
        <v>166</v>
      </c>
      <c r="C111" s="32" t="s">
        <v>168</v>
      </c>
      <c r="D111" s="9">
        <v>3000</v>
      </c>
      <c r="E111" s="9">
        <v>0</v>
      </c>
      <c r="F111" s="9">
        <v>3000</v>
      </c>
      <c r="G111" s="9">
        <v>3000</v>
      </c>
      <c r="H111" s="201"/>
      <c r="I111" s="201"/>
      <c r="J111" s="201"/>
      <c r="K111" s="201"/>
      <c r="L111" s="201"/>
      <c r="M111" s="201"/>
    </row>
    <row r="112" spans="2:13" x14ac:dyDescent="0.25">
      <c r="D112" s="14"/>
    </row>
    <row r="113" spans="2:13" x14ac:dyDescent="0.25">
      <c r="B113" s="217" t="s">
        <v>230</v>
      </c>
      <c r="C113" s="218"/>
      <c r="D113" s="37" t="str">
        <f>"Variant"&amp;" "&amp;$A$17</f>
        <v>Variant 3a</v>
      </c>
      <c r="E113" s="37" t="str">
        <f>"Variant"&amp;" "&amp;$A$18</f>
        <v>Variant 3b</v>
      </c>
      <c r="F113" s="37" t="str">
        <f>"Variant"&amp;" "&amp;$A$19</f>
        <v>Variant 3c</v>
      </c>
      <c r="G113" s="37" t="str">
        <f>"Variant"&amp;" "&amp;$A$20</f>
        <v>Variant 3d</v>
      </c>
      <c r="H113" s="202" t="s">
        <v>83</v>
      </c>
      <c r="I113" s="203"/>
      <c r="J113" s="203"/>
      <c r="K113" s="203"/>
      <c r="L113" s="203"/>
      <c r="M113" s="204"/>
    </row>
    <row r="114" spans="2:13" x14ac:dyDescent="0.25">
      <c r="B114" s="202" t="s">
        <v>231</v>
      </c>
      <c r="C114" s="204"/>
      <c r="D114" s="39"/>
      <c r="E114" s="39"/>
      <c r="F114" s="39"/>
      <c r="G114" s="39"/>
      <c r="H114" s="224"/>
      <c r="I114" s="225"/>
      <c r="J114" s="225"/>
      <c r="K114" s="225"/>
      <c r="L114" s="225"/>
      <c r="M114" s="226"/>
    </row>
    <row r="115" spans="2:13" ht="14.45" customHeight="1" x14ac:dyDescent="0.25">
      <c r="B115" s="122" t="s">
        <v>232</v>
      </c>
      <c r="C115" s="55"/>
      <c r="D115" s="39" t="s">
        <v>278</v>
      </c>
      <c r="E115" s="39" t="s">
        <v>278</v>
      </c>
      <c r="F115" s="39" t="s">
        <v>278</v>
      </c>
      <c r="G115" s="39" t="s">
        <v>278</v>
      </c>
      <c r="H115" s="221" t="s">
        <v>233</v>
      </c>
      <c r="I115" s="222"/>
      <c r="J115" s="222"/>
      <c r="K115" s="222"/>
      <c r="L115" s="222"/>
      <c r="M115" s="223"/>
    </row>
    <row r="116" spans="2:13" ht="14.45" customHeight="1" x14ac:dyDescent="0.25">
      <c r="B116" s="122" t="s">
        <v>234</v>
      </c>
      <c r="C116" s="55"/>
      <c r="D116" s="39" t="s">
        <v>133</v>
      </c>
      <c r="E116" s="39" t="s">
        <v>278</v>
      </c>
      <c r="F116" s="39" t="s">
        <v>133</v>
      </c>
      <c r="G116" s="39" t="s">
        <v>133</v>
      </c>
      <c r="H116" s="221" t="s">
        <v>235</v>
      </c>
      <c r="I116" s="222"/>
      <c r="J116" s="222"/>
      <c r="K116" s="222"/>
      <c r="L116" s="222"/>
      <c r="M116" s="223"/>
    </row>
    <row r="117" spans="2:13" ht="14.45" customHeight="1" x14ac:dyDescent="0.25">
      <c r="B117" s="122" t="s">
        <v>236</v>
      </c>
      <c r="C117" s="55"/>
      <c r="D117" s="39" t="s">
        <v>133</v>
      </c>
      <c r="E117" s="39" t="s">
        <v>278</v>
      </c>
      <c r="F117" s="39" t="s">
        <v>133</v>
      </c>
      <c r="G117" s="39" t="s">
        <v>133</v>
      </c>
      <c r="H117" s="221" t="s">
        <v>237</v>
      </c>
      <c r="I117" s="222"/>
      <c r="J117" s="222"/>
      <c r="K117" s="222"/>
      <c r="L117" s="222"/>
      <c r="M117" s="223"/>
    </row>
    <row r="118" spans="2:13" x14ac:dyDescent="0.25">
      <c r="B118" s="202" t="s">
        <v>238</v>
      </c>
      <c r="C118" s="204"/>
      <c r="D118" s="39"/>
      <c r="E118" s="39"/>
      <c r="F118" s="39"/>
      <c r="G118" s="39"/>
      <c r="H118" s="224"/>
      <c r="I118" s="225"/>
      <c r="J118" s="225"/>
      <c r="K118" s="225"/>
      <c r="L118" s="225"/>
      <c r="M118" s="226"/>
    </row>
    <row r="119" spans="2:13" x14ac:dyDescent="0.25">
      <c r="B119" s="122" t="s">
        <v>232</v>
      </c>
      <c r="C119" s="121" t="s">
        <v>85</v>
      </c>
      <c r="D119" s="170"/>
      <c r="E119" s="170"/>
      <c r="F119" s="170"/>
      <c r="G119" s="170"/>
      <c r="H119" s="224"/>
      <c r="I119" s="225"/>
      <c r="J119" s="225"/>
      <c r="K119" s="225"/>
      <c r="L119" s="225"/>
      <c r="M119" s="226"/>
    </row>
    <row r="120" spans="2:13" x14ac:dyDescent="0.25">
      <c r="B120" s="122" t="s">
        <v>234</v>
      </c>
      <c r="C120" s="121" t="s">
        <v>85</v>
      </c>
      <c r="D120" s="170"/>
      <c r="E120" s="170"/>
      <c r="F120" s="170"/>
      <c r="G120" s="170"/>
      <c r="H120" s="224"/>
      <c r="I120" s="225"/>
      <c r="J120" s="225"/>
      <c r="K120" s="225"/>
      <c r="L120" s="225"/>
      <c r="M120" s="226"/>
    </row>
    <row r="121" spans="2:13" x14ac:dyDescent="0.25">
      <c r="B121" s="122" t="s">
        <v>236</v>
      </c>
      <c r="C121" s="121" t="s">
        <v>85</v>
      </c>
      <c r="D121" s="170"/>
      <c r="E121" s="170"/>
      <c r="F121" s="170"/>
      <c r="G121" s="170"/>
      <c r="H121" s="224"/>
      <c r="I121" s="225"/>
      <c r="J121" s="225"/>
      <c r="K121" s="225"/>
      <c r="L121" s="225"/>
      <c r="M121" s="226"/>
    </row>
    <row r="122" spans="2:13" x14ac:dyDescent="0.25">
      <c r="H122" s="123"/>
      <c r="I122" s="123"/>
      <c r="J122" s="123"/>
      <c r="K122" s="123"/>
      <c r="L122" s="123"/>
      <c r="M122" s="123"/>
    </row>
    <row r="123" spans="2:13" x14ac:dyDescent="0.25">
      <c r="B123" s="217" t="s">
        <v>239</v>
      </c>
      <c r="C123" s="218"/>
      <c r="D123" s="37" t="str">
        <f>"Variant"&amp;" "&amp;$A$17</f>
        <v>Variant 3a</v>
      </c>
      <c r="E123" s="37" t="str">
        <f>"Variant"&amp;" "&amp;$A$18</f>
        <v>Variant 3b</v>
      </c>
      <c r="F123" s="37" t="str">
        <f>"Variant"&amp;" "&amp;$A$19</f>
        <v>Variant 3c</v>
      </c>
      <c r="G123" s="37" t="str">
        <f>"Variant"&amp;" "&amp;$A$20</f>
        <v>Variant 3d</v>
      </c>
      <c r="H123" s="202" t="s">
        <v>83</v>
      </c>
      <c r="I123" s="203"/>
      <c r="J123" s="203"/>
      <c r="K123" s="203"/>
      <c r="L123" s="203"/>
      <c r="M123" s="204"/>
    </row>
    <row r="124" spans="2:13" x14ac:dyDescent="0.25">
      <c r="B124" s="202" t="s">
        <v>240</v>
      </c>
      <c r="C124" s="204"/>
      <c r="D124" s="39"/>
      <c r="E124" s="39"/>
      <c r="F124" s="39"/>
      <c r="G124" s="39"/>
      <c r="H124" s="221"/>
      <c r="I124" s="222"/>
      <c r="J124" s="222"/>
      <c r="K124" s="222"/>
      <c r="L124" s="222"/>
      <c r="M124" s="223"/>
    </row>
    <row r="125" spans="2:13" ht="25.15" customHeight="1" x14ac:dyDescent="0.25">
      <c r="B125" s="122" t="s">
        <v>232</v>
      </c>
      <c r="C125" s="55"/>
      <c r="D125" s="39" t="s">
        <v>278</v>
      </c>
      <c r="E125" s="39" t="s">
        <v>278</v>
      </c>
      <c r="F125" s="39" t="s">
        <v>278</v>
      </c>
      <c r="G125" s="39" t="s">
        <v>278</v>
      </c>
      <c r="H125" s="221" t="s">
        <v>241</v>
      </c>
      <c r="I125" s="222"/>
      <c r="J125" s="222"/>
      <c r="K125" s="222"/>
      <c r="L125" s="222"/>
      <c r="M125" s="223"/>
    </row>
    <row r="126" spans="2:13" ht="25.15" customHeight="1" x14ac:dyDescent="0.25">
      <c r="B126" s="122" t="s">
        <v>234</v>
      </c>
      <c r="C126" s="55"/>
      <c r="D126" s="39" t="s">
        <v>133</v>
      </c>
      <c r="E126" s="39" t="s">
        <v>278</v>
      </c>
      <c r="F126" s="39" t="s">
        <v>133</v>
      </c>
      <c r="G126" s="39" t="s">
        <v>133</v>
      </c>
      <c r="H126" s="221" t="s">
        <v>241</v>
      </c>
      <c r="I126" s="222"/>
      <c r="J126" s="222"/>
      <c r="K126" s="222"/>
      <c r="L126" s="222"/>
      <c r="M126" s="223"/>
    </row>
    <row r="127" spans="2:13" ht="25.15" customHeight="1" x14ac:dyDescent="0.25">
      <c r="B127" s="122" t="s">
        <v>236</v>
      </c>
      <c r="C127" s="55"/>
      <c r="D127" s="39" t="s">
        <v>133</v>
      </c>
      <c r="E127" s="39" t="s">
        <v>278</v>
      </c>
      <c r="F127" s="39" t="s">
        <v>133</v>
      </c>
      <c r="G127" s="39" t="s">
        <v>133</v>
      </c>
      <c r="H127" s="221" t="s">
        <v>241</v>
      </c>
      <c r="I127" s="222"/>
      <c r="J127" s="222"/>
      <c r="K127" s="222"/>
      <c r="L127" s="222"/>
      <c r="M127" s="223"/>
    </row>
    <row r="128" spans="2:13" x14ac:dyDescent="0.25">
      <c r="B128" s="202" t="s">
        <v>242</v>
      </c>
      <c r="C128" s="204"/>
      <c r="D128" s="15"/>
      <c r="E128" s="15"/>
      <c r="F128" s="15"/>
      <c r="G128" s="15"/>
      <c r="H128" s="221"/>
      <c r="I128" s="222"/>
      <c r="J128" s="222"/>
      <c r="K128" s="222"/>
      <c r="L128" s="222"/>
      <c r="M128" s="223"/>
    </row>
    <row r="129" spans="1:21" ht="25.15" customHeight="1" x14ac:dyDescent="0.25">
      <c r="B129" s="122" t="s">
        <v>232</v>
      </c>
      <c r="C129" s="121" t="s">
        <v>243</v>
      </c>
      <c r="D129" s="171"/>
      <c r="E129" s="171"/>
      <c r="F129" s="171"/>
      <c r="G129" s="171"/>
      <c r="H129" s="221" t="s">
        <v>244</v>
      </c>
      <c r="I129" s="222"/>
      <c r="J129" s="222"/>
      <c r="K129" s="222"/>
      <c r="L129" s="222"/>
      <c r="M129" s="223"/>
    </row>
    <row r="130" spans="1:21" x14ac:dyDescent="0.25">
      <c r="B130" s="122" t="s">
        <v>234</v>
      </c>
      <c r="C130" s="121" t="s">
        <v>243</v>
      </c>
      <c r="D130" s="171"/>
      <c r="E130" s="171"/>
      <c r="F130" s="171"/>
      <c r="G130" s="171"/>
      <c r="H130" s="221"/>
      <c r="I130" s="222"/>
      <c r="J130" s="222"/>
      <c r="K130" s="222"/>
      <c r="L130" s="222"/>
      <c r="M130" s="223"/>
    </row>
    <row r="131" spans="1:21" x14ac:dyDescent="0.25">
      <c r="B131" s="122" t="s">
        <v>236</v>
      </c>
      <c r="C131" s="121" t="s">
        <v>243</v>
      </c>
      <c r="D131" s="171"/>
      <c r="E131" s="171"/>
      <c r="F131" s="171"/>
      <c r="G131" s="171"/>
      <c r="H131" s="221"/>
      <c r="I131" s="222"/>
      <c r="J131" s="222"/>
      <c r="K131" s="222"/>
      <c r="L131" s="222"/>
      <c r="M131" s="223"/>
    </row>
    <row r="132" spans="1:21" x14ac:dyDescent="0.25">
      <c r="D132" s="14"/>
    </row>
    <row r="133" spans="1:21" ht="30" x14ac:dyDescent="0.25">
      <c r="A133" s="20"/>
      <c r="B133" s="7" t="s">
        <v>170</v>
      </c>
      <c r="C133" s="101" t="s">
        <v>80</v>
      </c>
      <c r="D133" s="37" t="str">
        <f>"Variant"&amp;" "&amp;$A$17</f>
        <v>Variant 3a</v>
      </c>
      <c r="E133" s="37" t="str">
        <f>"Variant"&amp;" "&amp;$A$18</f>
        <v>Variant 3b</v>
      </c>
      <c r="F133" s="37" t="str">
        <f>"Variant"&amp;" "&amp;$A$19</f>
        <v>Variant 3c</v>
      </c>
      <c r="G133" s="37" t="str">
        <f>"Variant"&amp;" "&amp;$A$20</f>
        <v>Variant 3d</v>
      </c>
      <c r="H133" s="202" t="s">
        <v>83</v>
      </c>
      <c r="I133" s="203"/>
      <c r="J133" s="203"/>
      <c r="K133" s="203"/>
      <c r="L133" s="203"/>
      <c r="M133" s="204"/>
    </row>
    <row r="134" spans="1:21" ht="14.45" customHeight="1" x14ac:dyDescent="0.25">
      <c r="B134" s="19" t="s">
        <v>160</v>
      </c>
      <c r="C134" s="121" t="s">
        <v>85</v>
      </c>
      <c r="D134" s="17">
        <f>D100*D107</f>
        <v>0</v>
      </c>
      <c r="E134" s="17">
        <f>E100*E107</f>
        <v>0</v>
      </c>
      <c r="F134" s="17">
        <f t="shared" ref="F134:G134" si="0">F100*F107</f>
        <v>0</v>
      </c>
      <c r="G134" s="17">
        <f t="shared" si="0"/>
        <v>0</v>
      </c>
      <c r="H134" s="201" t="s">
        <v>279</v>
      </c>
      <c r="I134" s="201"/>
      <c r="J134" s="201"/>
      <c r="K134" s="201"/>
      <c r="L134" s="201"/>
      <c r="M134" s="201"/>
      <c r="N134" s="57"/>
      <c r="O134" s="57"/>
      <c r="P134" s="57"/>
      <c r="U134" s="57"/>
    </row>
    <row r="135" spans="1:21" x14ac:dyDescent="0.25">
      <c r="B135" s="19" t="s">
        <v>163</v>
      </c>
      <c r="C135" s="121" t="s">
        <v>85</v>
      </c>
      <c r="D135" s="17">
        <f>D101*D108</f>
        <v>0</v>
      </c>
      <c r="E135" s="17">
        <f>E101*E108</f>
        <v>0</v>
      </c>
      <c r="F135" s="17">
        <f t="shared" ref="F135:G135" si="1">F101*F108</f>
        <v>0</v>
      </c>
      <c r="G135" s="17">
        <f t="shared" si="1"/>
        <v>0</v>
      </c>
      <c r="H135" s="201"/>
      <c r="I135" s="201"/>
      <c r="J135" s="201"/>
      <c r="K135" s="201"/>
      <c r="L135" s="201"/>
      <c r="M135" s="201"/>
      <c r="N135" s="57"/>
      <c r="O135" s="57"/>
      <c r="P135" s="57"/>
      <c r="U135" s="57"/>
    </row>
    <row r="136" spans="1:21" x14ac:dyDescent="0.25">
      <c r="B136" s="19" t="s">
        <v>164</v>
      </c>
      <c r="C136" s="121" t="s">
        <v>85</v>
      </c>
      <c r="D136" s="17">
        <f>IF(D115="Yes",D119,IF(D125="Yes",D129*D102*D109,D102*D109))</f>
        <v>0</v>
      </c>
      <c r="E136" s="17">
        <f>IF(E115="Yes",E119,IF(E125="Yes",E129*E102*E109,E102*E109))</f>
        <v>0</v>
      </c>
      <c r="F136" s="17">
        <f t="shared" ref="F136:G136" si="2">IF(F115="Yes",F119,IF(F125="Yes",F129*F102*F109,F102*F109))</f>
        <v>0</v>
      </c>
      <c r="G136" s="17">
        <f t="shared" si="2"/>
        <v>0</v>
      </c>
      <c r="H136" s="201"/>
      <c r="I136" s="201"/>
      <c r="J136" s="201"/>
      <c r="K136" s="201"/>
      <c r="L136" s="201"/>
      <c r="M136" s="201"/>
      <c r="N136" s="57"/>
      <c r="O136" s="57"/>
      <c r="P136" s="57"/>
      <c r="U136" s="57"/>
    </row>
    <row r="137" spans="1:21" x14ac:dyDescent="0.25">
      <c r="B137" s="19" t="s">
        <v>165</v>
      </c>
      <c r="C137" s="121" t="s">
        <v>85</v>
      </c>
      <c r="D137" s="17">
        <f t="shared" ref="D137:E138" si="3">IF(D116="Yes",D120,IF(D126="Yes",D130*D103*D110,D103*D110))</f>
        <v>1520000</v>
      </c>
      <c r="E137" s="17">
        <f t="shared" si="3"/>
        <v>0</v>
      </c>
      <c r="F137" s="17">
        <f t="shared" ref="F137:G137" si="4">IF(F116="Yes",F120,IF(F126="Yes",F130*F103*F110,F103*F110))</f>
        <v>1520000</v>
      </c>
      <c r="G137" s="17">
        <f t="shared" si="4"/>
        <v>1520000</v>
      </c>
      <c r="H137" s="201"/>
      <c r="I137" s="201"/>
      <c r="J137" s="201"/>
      <c r="K137" s="201"/>
      <c r="L137" s="201"/>
      <c r="M137" s="201"/>
      <c r="N137" s="57"/>
      <c r="O137" s="57"/>
      <c r="P137" s="57"/>
      <c r="U137" s="57"/>
    </row>
    <row r="138" spans="1:21" x14ac:dyDescent="0.25">
      <c r="B138" s="19" t="s">
        <v>166</v>
      </c>
      <c r="C138" s="121" t="s">
        <v>85</v>
      </c>
      <c r="D138" s="17">
        <f t="shared" si="3"/>
        <v>420000</v>
      </c>
      <c r="E138" s="17">
        <f t="shared" si="3"/>
        <v>0</v>
      </c>
      <c r="F138" s="17">
        <f t="shared" ref="F138:G138" si="5">IF(F117="Yes",F121,IF(F127="Yes",F131*F104*F111,F104*F111))</f>
        <v>420000</v>
      </c>
      <c r="G138" s="17">
        <f t="shared" si="5"/>
        <v>420000</v>
      </c>
      <c r="H138" s="201"/>
      <c r="I138" s="201"/>
      <c r="J138" s="201"/>
      <c r="K138" s="201"/>
      <c r="L138" s="201"/>
      <c r="M138" s="201"/>
      <c r="N138" s="57"/>
      <c r="O138" s="57"/>
      <c r="P138" s="57"/>
      <c r="U138" s="57"/>
    </row>
    <row r="139" spans="1:21" ht="43.15" customHeight="1" thickBot="1" x14ac:dyDescent="0.3">
      <c r="B139" s="56" t="s">
        <v>172</v>
      </c>
      <c r="C139" s="43" t="s">
        <v>85</v>
      </c>
      <c r="D139" s="51">
        <f>SUM(D134:D138)</f>
        <v>1940000</v>
      </c>
      <c r="E139" s="51">
        <f t="shared" ref="E139:G139" si="6">SUM(E134:E138)</f>
        <v>0</v>
      </c>
      <c r="F139" s="51">
        <f t="shared" si="6"/>
        <v>1940000</v>
      </c>
      <c r="G139" s="51">
        <f t="shared" si="6"/>
        <v>1940000</v>
      </c>
    </row>
    <row r="140" spans="1:21" ht="15.75" thickTop="1" x14ac:dyDescent="0.25">
      <c r="D140" s="14"/>
    </row>
    <row r="141" spans="1:21" s="8" customFormat="1" ht="15.75" outlineLevel="1" thickBot="1" x14ac:dyDescent="0.3">
      <c r="A141" s="8" t="s">
        <v>173</v>
      </c>
    </row>
    <row r="142" spans="1:21" outlineLevel="2" x14ac:dyDescent="0.25">
      <c r="B142" s="34"/>
      <c r="C142" s="4"/>
      <c r="D142" s="47"/>
      <c r="E142" s="47"/>
      <c r="F142" s="47"/>
      <c r="G142" s="47"/>
      <c r="H142" s="47"/>
      <c r="I142" s="47"/>
      <c r="J142" s="47"/>
    </row>
    <row r="143" spans="1:21" ht="28.9" customHeight="1" outlineLevel="2" x14ac:dyDescent="0.25">
      <c r="B143" s="21" t="s">
        <v>173</v>
      </c>
      <c r="C143" s="31" t="s">
        <v>80</v>
      </c>
      <c r="D143" s="37" t="str">
        <f>"Variant"&amp;" "&amp;$A$17</f>
        <v>Variant 3a</v>
      </c>
      <c r="E143" s="37" t="str">
        <f>"Variant"&amp;" "&amp;$A$18</f>
        <v>Variant 3b</v>
      </c>
      <c r="F143" s="37" t="str">
        <f>"Variant"&amp;" "&amp;$A$19</f>
        <v>Variant 3c</v>
      </c>
      <c r="G143" s="37" t="str">
        <f>"Variant"&amp;" "&amp;$A$20</f>
        <v>Variant 3d</v>
      </c>
      <c r="H143" s="202" t="s">
        <v>83</v>
      </c>
      <c r="I143" s="203"/>
      <c r="J143" s="203"/>
      <c r="K143" s="203"/>
      <c r="L143" s="203"/>
      <c r="M143" s="204"/>
    </row>
    <row r="144" spans="1:21" ht="28.9" customHeight="1" outlineLevel="2" x14ac:dyDescent="0.25">
      <c r="B144" s="66" t="s">
        <v>174</v>
      </c>
      <c r="C144" s="31" t="s">
        <v>85</v>
      </c>
      <c r="D144" s="9">
        <f>D86+D139</f>
        <v>2144000</v>
      </c>
      <c r="E144" s="9">
        <f t="shared" ref="E144:G144" si="7">E86+E139</f>
        <v>3050400</v>
      </c>
      <c r="F144" s="9">
        <f t="shared" si="7"/>
        <v>2144000</v>
      </c>
      <c r="G144" s="9">
        <f t="shared" si="7"/>
        <v>2144000</v>
      </c>
      <c r="H144" s="221" t="s">
        <v>280</v>
      </c>
      <c r="I144" s="222"/>
      <c r="J144" s="222"/>
      <c r="K144" s="222"/>
      <c r="L144" s="222"/>
      <c r="M144" s="223"/>
    </row>
    <row r="145" spans="1:13" outlineLevel="2" x14ac:dyDescent="0.25"/>
    <row r="146" spans="1:13" s="151" customFormat="1" ht="18" thickBot="1" x14ac:dyDescent="0.35">
      <c r="A146" s="151" t="s">
        <v>281</v>
      </c>
    </row>
    <row r="147" spans="1:13" ht="15.75" outlineLevel="1" thickTop="1" x14ac:dyDescent="0.25">
      <c r="B147" s="4"/>
      <c r="F147" s="161"/>
      <c r="G147" s="161"/>
      <c r="H147" s="161"/>
      <c r="I147" s="161"/>
      <c r="J147" s="161"/>
      <c r="K147" s="161"/>
    </row>
    <row r="148" spans="1:13" outlineLevel="1" x14ac:dyDescent="0.25">
      <c r="A148" s="11" t="s">
        <v>177</v>
      </c>
      <c r="B148" s="4"/>
      <c r="F148" s="161"/>
      <c r="G148" s="161"/>
      <c r="H148" s="161"/>
      <c r="I148" s="161"/>
      <c r="J148" s="161"/>
      <c r="K148" s="161"/>
    </row>
    <row r="149" spans="1:13" outlineLevel="1" x14ac:dyDescent="0.25">
      <c r="B149" s="4"/>
      <c r="F149" s="161"/>
      <c r="G149" s="161"/>
      <c r="H149" s="161"/>
      <c r="I149" s="161"/>
      <c r="J149" s="161"/>
      <c r="K149" s="161"/>
    </row>
    <row r="150" spans="1:13" ht="28.9" customHeight="1" outlineLevel="2" x14ac:dyDescent="0.25">
      <c r="B150" s="21" t="s">
        <v>178</v>
      </c>
      <c r="C150" s="31" t="s">
        <v>80</v>
      </c>
      <c r="D150" s="37" t="str">
        <f>"Variant"&amp;" "&amp;$A$17</f>
        <v>Variant 3a</v>
      </c>
      <c r="E150" s="37" t="str">
        <f>"Variant"&amp;" "&amp;$A$18</f>
        <v>Variant 3b</v>
      </c>
      <c r="F150" s="37" t="str">
        <f>"Variant"&amp;" "&amp;$A$19</f>
        <v>Variant 3c</v>
      </c>
      <c r="G150" s="37" t="str">
        <f>"Variant"&amp;" "&amp;$A$20</f>
        <v>Variant 3d</v>
      </c>
      <c r="H150" s="202" t="s">
        <v>83</v>
      </c>
      <c r="I150" s="203"/>
      <c r="J150" s="203"/>
      <c r="K150" s="203"/>
      <c r="L150" s="203"/>
      <c r="M150" s="204"/>
    </row>
    <row r="151" spans="1:13" outlineLevel="2" x14ac:dyDescent="0.25">
      <c r="B151" s="19"/>
      <c r="C151" s="32" t="s">
        <v>85</v>
      </c>
      <c r="D151" s="9"/>
      <c r="E151" s="9"/>
      <c r="F151" s="9"/>
      <c r="G151" s="9"/>
      <c r="H151" s="221"/>
      <c r="I151" s="222"/>
      <c r="J151" s="222"/>
      <c r="K151" s="222"/>
      <c r="L151" s="222"/>
      <c r="M151" s="223"/>
    </row>
    <row r="152" spans="1:13" outlineLevel="2" x14ac:dyDescent="0.25">
      <c r="B152" s="19"/>
      <c r="C152" s="32" t="s">
        <v>85</v>
      </c>
      <c r="D152" s="9"/>
      <c r="E152" s="9"/>
      <c r="F152" s="9"/>
      <c r="G152" s="9"/>
      <c r="H152" s="221"/>
      <c r="I152" s="222"/>
      <c r="J152" s="222"/>
      <c r="K152" s="222"/>
      <c r="L152" s="222"/>
      <c r="M152" s="223"/>
    </row>
    <row r="153" spans="1:13" ht="15.75" outlineLevel="2" thickBot="1" x14ac:dyDescent="0.3">
      <c r="A153" s="10"/>
      <c r="B153" s="50" t="s">
        <v>183</v>
      </c>
      <c r="C153" s="49" t="s">
        <v>85</v>
      </c>
      <c r="D153" s="51">
        <f>SUM(D151:D152)</f>
        <v>0</v>
      </c>
      <c r="E153" s="51">
        <f>SUM(E151:E152)</f>
        <v>0</v>
      </c>
      <c r="F153" s="51">
        <f t="shared" ref="F153:G153" si="8">SUM(F151:F152)</f>
        <v>0</v>
      </c>
      <c r="G153" s="51">
        <f t="shared" si="8"/>
        <v>0</v>
      </c>
      <c r="H153" s="30"/>
    </row>
    <row r="154" spans="1:13" ht="15.75" outlineLevel="2" thickTop="1" x14ac:dyDescent="0.25"/>
    <row r="155" spans="1:13" outlineLevel="1" x14ac:dyDescent="0.25">
      <c r="A155" s="11" t="s">
        <v>184</v>
      </c>
      <c r="B155" s="4"/>
      <c r="H155" s="161"/>
      <c r="I155" s="161"/>
      <c r="J155" s="161"/>
      <c r="K155" s="161"/>
      <c r="L155" s="161"/>
      <c r="M155" s="161"/>
    </row>
    <row r="156" spans="1:13" outlineLevel="1" x14ac:dyDescent="0.25">
      <c r="A156" s="11"/>
      <c r="B156" s="4"/>
      <c r="H156" s="161"/>
      <c r="I156" s="161"/>
      <c r="J156" s="161"/>
      <c r="K156" s="161"/>
      <c r="L156" s="161"/>
      <c r="M156" s="161"/>
    </row>
    <row r="157" spans="1:13" outlineLevel="1" x14ac:dyDescent="0.25">
      <c r="C157" s="31" t="s">
        <v>80</v>
      </c>
      <c r="D157" s="37" t="str">
        <f>"Variant"&amp;" "&amp;$A$17</f>
        <v>Variant 3a</v>
      </c>
      <c r="E157" s="37" t="str">
        <f>"Variant"&amp;" "&amp;$A$18</f>
        <v>Variant 3b</v>
      </c>
      <c r="F157" s="37" t="str">
        <f>"Variant"&amp;" "&amp;$A$19</f>
        <v>Variant 3c</v>
      </c>
      <c r="G157" s="37" t="str">
        <f>"Variant"&amp;" "&amp;$A$20</f>
        <v>Variant 3d</v>
      </c>
      <c r="H157" s="202" t="s">
        <v>83</v>
      </c>
      <c r="I157" s="203"/>
      <c r="J157" s="203"/>
      <c r="K157" s="203"/>
      <c r="L157" s="203"/>
      <c r="M157" s="204"/>
    </row>
    <row r="158" spans="1:13" ht="14.45" customHeight="1" outlineLevel="1" x14ac:dyDescent="0.25">
      <c r="B158" s="31" t="s">
        <v>154</v>
      </c>
      <c r="C158" s="32" t="s">
        <v>155</v>
      </c>
      <c r="D158" s="167" t="str">
        <f>D97</f>
        <v>Urban</v>
      </c>
      <c r="E158" s="167" t="str">
        <f>E97</f>
        <v>Urban</v>
      </c>
      <c r="F158" s="167" t="str">
        <f t="shared" ref="F158:G158" si="9">F97</f>
        <v>Urban</v>
      </c>
      <c r="G158" s="167" t="str">
        <f t="shared" si="9"/>
        <v>Urban</v>
      </c>
      <c r="H158" s="221" t="s">
        <v>185</v>
      </c>
      <c r="I158" s="222"/>
      <c r="J158" s="222"/>
      <c r="K158" s="222"/>
      <c r="L158" s="222"/>
      <c r="M158" s="223"/>
    </row>
    <row r="159" spans="1:13" outlineLevel="1" x14ac:dyDescent="0.25"/>
    <row r="160" spans="1:13" outlineLevel="1" x14ac:dyDescent="0.25">
      <c r="B160" s="31" t="s">
        <v>159</v>
      </c>
      <c r="C160" s="31" t="s">
        <v>80</v>
      </c>
      <c r="D160" s="37" t="str">
        <f>"Variant"&amp;" "&amp;$A$17</f>
        <v>Variant 3a</v>
      </c>
      <c r="E160" s="37" t="str">
        <f>"Variant"&amp;" "&amp;$A$18</f>
        <v>Variant 3b</v>
      </c>
      <c r="F160" s="37" t="str">
        <f>"Variant"&amp;" "&amp;$A$19</f>
        <v>Variant 3c</v>
      </c>
      <c r="G160" s="37" t="str">
        <f>"Variant"&amp;" "&amp;$A$20</f>
        <v>Variant 3d</v>
      </c>
      <c r="H160" s="202" t="s">
        <v>83</v>
      </c>
      <c r="I160" s="203"/>
      <c r="J160" s="203"/>
      <c r="K160" s="203"/>
      <c r="L160" s="203"/>
      <c r="M160" s="204"/>
    </row>
    <row r="161" spans="2:13" ht="14.45" customHeight="1" outlineLevel="1" x14ac:dyDescent="0.25">
      <c r="B161" s="19" t="s">
        <v>160</v>
      </c>
      <c r="C161" s="32" t="s">
        <v>161</v>
      </c>
      <c r="D161" s="15">
        <f>IF(D$158="","",_xlfn.XLOOKUP(D$158,'Network costing zones'!$D$4:$F$4,'Network costing zones'!$D5:$F5,"error"))</f>
        <v>240</v>
      </c>
      <c r="E161" s="15">
        <f>IF(E$158="","",_xlfn.XLOOKUP(E$158,'Network costing zones'!$D$4:$F$4,'Network costing zones'!$D5:$F5,"error"))</f>
        <v>240</v>
      </c>
      <c r="F161" s="15">
        <f>IF(F$158="","",_xlfn.XLOOKUP(F$158,'Network costing zones'!$D$4:$F$4,'Network costing zones'!$D5:$F5,"error"))</f>
        <v>240</v>
      </c>
      <c r="G161" s="15">
        <f>IF(G$158="","",_xlfn.XLOOKUP(G$158,'Network costing zones'!$D$4:$F$4,'Network costing zones'!$D5:$F5,"error"))</f>
        <v>240</v>
      </c>
      <c r="H161" s="201" t="s">
        <v>162</v>
      </c>
      <c r="I161" s="201"/>
      <c r="J161" s="201"/>
      <c r="K161" s="201"/>
      <c r="L161" s="201"/>
      <c r="M161" s="201"/>
    </row>
    <row r="162" spans="2:13" outlineLevel="1" x14ac:dyDescent="0.25">
      <c r="B162" s="19" t="s">
        <v>163</v>
      </c>
      <c r="C162" s="32" t="s">
        <v>161</v>
      </c>
      <c r="D162" s="15">
        <f>IF(D$158="","",_xlfn.XLOOKUP(D$158,'Network costing zones'!$D$4:$F$4,'Network costing zones'!$D6:$F6,"error"))</f>
        <v>600</v>
      </c>
      <c r="E162" s="15">
        <f>IF(E$158="","",_xlfn.XLOOKUP(E$158,'Network costing zones'!$D$4:$F$4,'Network costing zones'!$D6:$F6,"error"))</f>
        <v>600</v>
      </c>
      <c r="F162" s="15">
        <f>IF(F$158="","",_xlfn.XLOOKUP(F$158,'Network costing zones'!$D$4:$F$4,'Network costing zones'!$D6:$F6,"error"))</f>
        <v>600</v>
      </c>
      <c r="G162" s="15">
        <f>IF(G$158="","",_xlfn.XLOOKUP(G$158,'Network costing zones'!$D$4:$F$4,'Network costing zones'!$D6:$F6,"error"))</f>
        <v>600</v>
      </c>
      <c r="H162" s="201"/>
      <c r="I162" s="201"/>
      <c r="J162" s="201"/>
      <c r="K162" s="201"/>
      <c r="L162" s="201"/>
      <c r="M162" s="201"/>
    </row>
    <row r="163" spans="2:13" outlineLevel="1" x14ac:dyDescent="0.25">
      <c r="B163" s="19" t="s">
        <v>164</v>
      </c>
      <c r="C163" s="32" t="s">
        <v>161</v>
      </c>
      <c r="D163" s="15">
        <f>IF(D$158="","",_xlfn.XLOOKUP(D$158,'Network costing zones'!$D$4:$F$4,'Network costing zones'!$D7:$F7,"error"))</f>
        <v>85</v>
      </c>
      <c r="E163" s="15">
        <f>IF(E$158="","",_xlfn.XLOOKUP(E$158,'Network costing zones'!$D$4:$F$4,'Network costing zones'!$D7:$F7,"error"))</f>
        <v>85</v>
      </c>
      <c r="F163" s="15">
        <f>IF(F$158="","",_xlfn.XLOOKUP(F$158,'Network costing zones'!$D$4:$F$4,'Network costing zones'!$D7:$F7,"error"))</f>
        <v>85</v>
      </c>
      <c r="G163" s="15">
        <f>IF(G$158="","",_xlfn.XLOOKUP(G$158,'Network costing zones'!$D$4:$F$4,'Network costing zones'!$D7:$F7,"error"))</f>
        <v>85</v>
      </c>
      <c r="H163" s="201"/>
      <c r="I163" s="201"/>
      <c r="J163" s="201"/>
      <c r="K163" s="201"/>
      <c r="L163" s="201"/>
      <c r="M163" s="201"/>
    </row>
    <row r="164" spans="2:13" outlineLevel="1" x14ac:dyDescent="0.25">
      <c r="B164" s="19" t="s">
        <v>165</v>
      </c>
      <c r="C164" s="32" t="s">
        <v>161</v>
      </c>
      <c r="D164" s="15">
        <f>IF(D$158="","",_xlfn.XLOOKUP(D$158,'Network costing zones'!$D$4:$F$4,'Network costing zones'!$D8:$F8,"error"))</f>
        <v>380</v>
      </c>
      <c r="E164" s="15">
        <f>IF(E$158="","",_xlfn.XLOOKUP(E$158,'Network costing zones'!$D$4:$F$4,'Network costing zones'!$D8:$F8,"error"))</f>
        <v>380</v>
      </c>
      <c r="F164" s="15">
        <f>IF(F$158="","",_xlfn.XLOOKUP(F$158,'Network costing zones'!$D$4:$F$4,'Network costing zones'!$D8:$F8,"error"))</f>
        <v>380</v>
      </c>
      <c r="G164" s="15">
        <f>IF(G$158="","",_xlfn.XLOOKUP(G$158,'Network costing zones'!$D$4:$F$4,'Network costing zones'!$D8:$F8,"error"))</f>
        <v>380</v>
      </c>
      <c r="H164" s="201"/>
      <c r="I164" s="201"/>
      <c r="J164" s="201"/>
      <c r="K164" s="201"/>
      <c r="L164" s="201"/>
      <c r="M164" s="201"/>
    </row>
    <row r="165" spans="2:13" outlineLevel="1" x14ac:dyDescent="0.25">
      <c r="B165" s="19" t="s">
        <v>166</v>
      </c>
      <c r="C165" s="32" t="s">
        <v>161</v>
      </c>
      <c r="D165" s="15">
        <f>IF(D$158="","",_xlfn.XLOOKUP(D$158,'Network costing zones'!$D$4:$F$4,'Network costing zones'!$D9:$F9,"error"))</f>
        <v>140</v>
      </c>
      <c r="E165" s="15">
        <f>IF(E$158="","",_xlfn.XLOOKUP(E$158,'Network costing zones'!$D$4:$F$4,'Network costing zones'!$D9:$F9,"error"))</f>
        <v>140</v>
      </c>
      <c r="F165" s="15">
        <f>IF(F$158="","",_xlfn.XLOOKUP(F$158,'Network costing zones'!$D$4:$F$4,'Network costing zones'!$D9:$F9,"error"))</f>
        <v>140</v>
      </c>
      <c r="G165" s="15">
        <f>IF(G$158="","",_xlfn.XLOOKUP(G$158,'Network costing zones'!$D$4:$F$4,'Network costing zones'!$D9:$F9,"error"))</f>
        <v>140</v>
      </c>
      <c r="H165" s="201"/>
      <c r="I165" s="201"/>
      <c r="J165" s="201"/>
      <c r="K165" s="201"/>
      <c r="L165" s="201"/>
      <c r="M165" s="201"/>
    </row>
    <row r="166" spans="2:13" outlineLevel="1" x14ac:dyDescent="0.25"/>
    <row r="167" spans="2:13" ht="30" x14ac:dyDescent="0.25">
      <c r="B167" s="7" t="s">
        <v>186</v>
      </c>
      <c r="C167" s="31" t="s">
        <v>80</v>
      </c>
      <c r="D167" s="37" t="str">
        <f>"Variant"&amp;" "&amp;$A$17</f>
        <v>Variant 3a</v>
      </c>
      <c r="E167" s="37" t="str">
        <f>"Variant"&amp;" "&amp;$A$18</f>
        <v>Variant 3b</v>
      </c>
      <c r="F167" s="37" t="str">
        <f>"Variant"&amp;" "&amp;$A$19</f>
        <v>Variant 3c</v>
      </c>
      <c r="G167" s="37" t="str">
        <f>"Variant"&amp;" "&amp;$A$20</f>
        <v>Variant 3d</v>
      </c>
      <c r="H167" s="202" t="s">
        <v>83</v>
      </c>
      <c r="I167" s="203"/>
      <c r="J167" s="203"/>
      <c r="K167" s="203"/>
      <c r="L167" s="203"/>
      <c r="M167" s="204"/>
    </row>
    <row r="168" spans="2:13" ht="14.45" customHeight="1" x14ac:dyDescent="0.25">
      <c r="B168" s="19" t="s">
        <v>160</v>
      </c>
      <c r="C168" s="32" t="s">
        <v>168</v>
      </c>
      <c r="D168" s="118"/>
      <c r="E168" s="118"/>
      <c r="F168" s="118"/>
      <c r="G168" s="118"/>
      <c r="H168" s="201" t="s">
        <v>187</v>
      </c>
      <c r="I168" s="201"/>
      <c r="J168" s="201"/>
      <c r="K168" s="201"/>
      <c r="L168" s="201"/>
      <c r="M168" s="201"/>
    </row>
    <row r="169" spans="2:13" x14ac:dyDescent="0.25">
      <c r="B169" s="19" t="s">
        <v>163</v>
      </c>
      <c r="C169" s="32" t="s">
        <v>168</v>
      </c>
      <c r="D169" s="118"/>
      <c r="E169" s="118"/>
      <c r="F169" s="118"/>
      <c r="G169" s="118"/>
      <c r="H169" s="201"/>
      <c r="I169" s="201"/>
      <c r="J169" s="201"/>
      <c r="K169" s="201"/>
      <c r="L169" s="201"/>
      <c r="M169" s="201"/>
    </row>
    <row r="170" spans="2:13" x14ac:dyDescent="0.25">
      <c r="B170" s="19" t="s">
        <v>164</v>
      </c>
      <c r="C170" s="32" t="s">
        <v>168</v>
      </c>
      <c r="D170" s="118"/>
      <c r="E170" s="118"/>
      <c r="F170" s="118"/>
      <c r="G170" s="118"/>
      <c r="H170" s="201"/>
      <c r="I170" s="201"/>
      <c r="J170" s="201"/>
      <c r="K170" s="201"/>
      <c r="L170" s="201"/>
      <c r="M170" s="201"/>
    </row>
    <row r="171" spans="2:13" x14ac:dyDescent="0.25">
      <c r="B171" s="19" t="s">
        <v>165</v>
      </c>
      <c r="C171" s="32" t="s">
        <v>168</v>
      </c>
      <c r="D171" s="118"/>
      <c r="E171" s="118"/>
      <c r="F171" s="118"/>
      <c r="G171" s="118"/>
      <c r="H171" s="201"/>
      <c r="I171" s="201"/>
      <c r="J171" s="201"/>
      <c r="K171" s="201"/>
      <c r="L171" s="201"/>
      <c r="M171" s="201"/>
    </row>
    <row r="172" spans="2:13" x14ac:dyDescent="0.25">
      <c r="B172" s="19" t="s">
        <v>166</v>
      </c>
      <c r="C172" s="32" t="s">
        <v>168</v>
      </c>
      <c r="D172" s="118"/>
      <c r="E172" s="118"/>
      <c r="F172" s="118"/>
      <c r="G172" s="118"/>
      <c r="H172" s="201"/>
      <c r="I172" s="201"/>
      <c r="J172" s="201"/>
      <c r="K172" s="201"/>
      <c r="L172" s="201"/>
      <c r="M172" s="201"/>
    </row>
    <row r="173" spans="2:13" x14ac:dyDescent="0.25">
      <c r="D173" s="14"/>
    </row>
    <row r="174" spans="2:13" x14ac:dyDescent="0.25">
      <c r="B174" s="7" t="s">
        <v>188</v>
      </c>
      <c r="C174" s="101" t="s">
        <v>80</v>
      </c>
      <c r="D174" s="37" t="str">
        <f>"Variant"&amp;" "&amp;$A$17</f>
        <v>Variant 3a</v>
      </c>
      <c r="E174" s="37" t="str">
        <f>"Variant"&amp;" "&amp;$A$18</f>
        <v>Variant 3b</v>
      </c>
      <c r="F174" s="37" t="str">
        <f>"Variant"&amp;" "&amp;$A$19</f>
        <v>Variant 3c</v>
      </c>
      <c r="G174" s="37" t="str">
        <f>"Variant"&amp;" "&amp;$A$20</f>
        <v>Variant 3d</v>
      </c>
      <c r="H174" s="202" t="s">
        <v>83</v>
      </c>
      <c r="I174" s="203"/>
      <c r="J174" s="203"/>
      <c r="K174" s="203"/>
      <c r="L174" s="203"/>
      <c r="M174" s="204"/>
    </row>
    <row r="175" spans="2:13" ht="14.45" customHeight="1" x14ac:dyDescent="0.25">
      <c r="B175" s="19" t="s">
        <v>160</v>
      </c>
      <c r="C175" s="121" t="s">
        <v>85</v>
      </c>
      <c r="D175" s="17">
        <f t="shared" ref="D175:E179" si="10">D100*D168</f>
        <v>0</v>
      </c>
      <c r="E175" s="17">
        <f t="shared" si="10"/>
        <v>0</v>
      </c>
      <c r="F175" s="17">
        <f t="shared" ref="F175:G175" si="11">F100*F168</f>
        <v>0</v>
      </c>
      <c r="G175" s="17">
        <f t="shared" si="11"/>
        <v>0</v>
      </c>
      <c r="H175" s="201" t="s">
        <v>189</v>
      </c>
      <c r="I175" s="201"/>
      <c r="J175" s="201"/>
      <c r="K175" s="201"/>
      <c r="L175" s="201"/>
      <c r="M175" s="201"/>
    </row>
    <row r="176" spans="2:13" x14ac:dyDescent="0.25">
      <c r="B176" s="19" t="s">
        <v>163</v>
      </c>
      <c r="C176" s="121" t="s">
        <v>85</v>
      </c>
      <c r="D176" s="17">
        <f t="shared" si="10"/>
        <v>0</v>
      </c>
      <c r="E176" s="17">
        <f t="shared" si="10"/>
        <v>0</v>
      </c>
      <c r="F176" s="17">
        <f t="shared" ref="F176:G176" si="12">F101*F169</f>
        <v>0</v>
      </c>
      <c r="G176" s="17">
        <f t="shared" si="12"/>
        <v>0</v>
      </c>
      <c r="H176" s="201"/>
      <c r="I176" s="201"/>
      <c r="J176" s="201"/>
      <c r="K176" s="201"/>
      <c r="L176" s="201"/>
      <c r="M176" s="201"/>
    </row>
    <row r="177" spans="1:13" x14ac:dyDescent="0.25">
      <c r="B177" s="19" t="s">
        <v>164</v>
      </c>
      <c r="C177" s="121" t="s">
        <v>85</v>
      </c>
      <c r="D177" s="17">
        <f t="shared" si="10"/>
        <v>0</v>
      </c>
      <c r="E177" s="17">
        <f t="shared" si="10"/>
        <v>0</v>
      </c>
      <c r="F177" s="17">
        <f t="shared" ref="F177:G177" si="13">F102*F170</f>
        <v>0</v>
      </c>
      <c r="G177" s="17">
        <f t="shared" si="13"/>
        <v>0</v>
      </c>
      <c r="H177" s="201"/>
      <c r="I177" s="201"/>
      <c r="J177" s="201"/>
      <c r="K177" s="201"/>
      <c r="L177" s="201"/>
      <c r="M177" s="201"/>
    </row>
    <row r="178" spans="1:13" x14ac:dyDescent="0.25">
      <c r="B178" s="19" t="s">
        <v>165</v>
      </c>
      <c r="C178" s="121" t="s">
        <v>85</v>
      </c>
      <c r="D178" s="17">
        <f t="shared" si="10"/>
        <v>0</v>
      </c>
      <c r="E178" s="17">
        <f t="shared" si="10"/>
        <v>0</v>
      </c>
      <c r="F178" s="17">
        <f t="shared" ref="F178:G178" si="14">F103*F171</f>
        <v>0</v>
      </c>
      <c r="G178" s="17">
        <f t="shared" si="14"/>
        <v>0</v>
      </c>
      <c r="H178" s="201"/>
      <c r="I178" s="201"/>
      <c r="J178" s="201"/>
      <c r="K178" s="201"/>
      <c r="L178" s="201"/>
      <c r="M178" s="201"/>
    </row>
    <row r="179" spans="1:13" x14ac:dyDescent="0.25">
      <c r="B179" s="19" t="s">
        <v>166</v>
      </c>
      <c r="C179" s="121" t="s">
        <v>85</v>
      </c>
      <c r="D179" s="17">
        <f t="shared" si="10"/>
        <v>0</v>
      </c>
      <c r="E179" s="17">
        <f t="shared" si="10"/>
        <v>0</v>
      </c>
      <c r="F179" s="17">
        <f t="shared" ref="F179:G179" si="15">F104*F172</f>
        <v>0</v>
      </c>
      <c r="G179" s="17">
        <f t="shared" si="15"/>
        <v>0</v>
      </c>
      <c r="H179" s="201"/>
      <c r="I179" s="201"/>
      <c r="J179" s="201"/>
      <c r="K179" s="201"/>
      <c r="L179" s="201"/>
      <c r="M179" s="201"/>
    </row>
    <row r="180" spans="1:13" ht="15.75" thickBot="1" x14ac:dyDescent="0.3">
      <c r="B180" s="50" t="s">
        <v>190</v>
      </c>
      <c r="C180" s="49" t="s">
        <v>85</v>
      </c>
      <c r="D180" s="51">
        <f>SUM(D175:D179)</f>
        <v>0</v>
      </c>
      <c r="E180" s="51">
        <f t="shared" ref="E180:G180" si="16">SUM(E175:E179)</f>
        <v>0</v>
      </c>
      <c r="F180" s="51">
        <f t="shared" si="16"/>
        <v>0</v>
      </c>
      <c r="G180" s="51">
        <f t="shared" si="16"/>
        <v>0</v>
      </c>
    </row>
    <row r="181" spans="1:13" ht="15.75" thickTop="1" x14ac:dyDescent="0.25">
      <c r="D181" s="14"/>
    </row>
    <row r="182" spans="1:13" s="151" customFormat="1" ht="18" thickBot="1" x14ac:dyDescent="0.35">
      <c r="A182" s="151" t="s">
        <v>282</v>
      </c>
    </row>
    <row r="183" spans="1:13" ht="15.75" outlineLevel="1" thickTop="1" x14ac:dyDescent="0.25">
      <c r="B183" s="4"/>
      <c r="F183" s="161"/>
      <c r="G183" s="161"/>
      <c r="H183" s="161"/>
      <c r="I183" s="161"/>
      <c r="J183" s="161"/>
      <c r="K183" s="161"/>
    </row>
    <row r="184" spans="1:13" s="8" customFormat="1" ht="15.75" outlineLevel="1" thickBot="1" x14ac:dyDescent="0.3">
      <c r="A184" s="8" t="s">
        <v>102</v>
      </c>
    </row>
    <row r="185" spans="1:13" outlineLevel="1" x14ac:dyDescent="0.25">
      <c r="B185" s="4"/>
      <c r="C185" s="46"/>
      <c r="D185" s="41"/>
      <c r="E185" s="41"/>
      <c r="F185" s="41"/>
      <c r="G185" s="41"/>
      <c r="H185" s="41"/>
      <c r="I185" s="41"/>
      <c r="J185" s="41"/>
    </row>
    <row r="186" spans="1:13" outlineLevel="1" x14ac:dyDescent="0.25">
      <c r="B186" s="31"/>
      <c r="C186" s="7" t="s">
        <v>80</v>
      </c>
      <c r="D186" s="37" t="str">
        <f>"Variant"&amp;" "&amp;$A$17</f>
        <v>Variant 3a</v>
      </c>
      <c r="E186" s="37" t="str">
        <f>"Variant"&amp;" "&amp;$A$18</f>
        <v>Variant 3b</v>
      </c>
      <c r="F186" s="37" t="str">
        <f>"Variant"&amp;" "&amp;$A$19</f>
        <v>Variant 3c</v>
      </c>
      <c r="G186" s="37" t="str">
        <f>"Variant"&amp;" "&amp;$A$20</f>
        <v>Variant 3d</v>
      </c>
      <c r="H186" s="202" t="s">
        <v>3</v>
      </c>
      <c r="I186" s="203"/>
      <c r="J186" s="204"/>
      <c r="K186" s="202" t="s">
        <v>83</v>
      </c>
      <c r="L186" s="203"/>
      <c r="M186" s="204"/>
    </row>
    <row r="187" spans="1:13" ht="37.5" customHeight="1" outlineLevel="1" x14ac:dyDescent="0.25">
      <c r="B187" s="125" t="s">
        <v>283</v>
      </c>
      <c r="C187" s="6" t="s">
        <v>85</v>
      </c>
      <c r="D187" s="68">
        <v>0</v>
      </c>
      <c r="E187" s="15">
        <f>'3b. ITC calcs'!D21</f>
        <v>1907839.6685208606</v>
      </c>
      <c r="F187" s="68">
        <v>0</v>
      </c>
      <c r="G187" s="68">
        <v>0</v>
      </c>
      <c r="H187" s="208" t="s">
        <v>103</v>
      </c>
      <c r="I187" s="209"/>
      <c r="J187" s="210"/>
      <c r="K187" s="195" t="s">
        <v>284</v>
      </c>
      <c r="L187" s="195"/>
      <c r="M187" s="195"/>
    </row>
    <row r="188" spans="1:13" ht="49.9" customHeight="1" outlineLevel="1" x14ac:dyDescent="0.25">
      <c r="B188" s="125" t="s">
        <v>285</v>
      </c>
      <c r="C188" s="6" t="s">
        <v>85</v>
      </c>
      <c r="D188" s="68">
        <v>0</v>
      </c>
      <c r="E188" s="15">
        <f>'3b. ITC calcs'!D26</f>
        <v>238937.20730192107</v>
      </c>
      <c r="F188" s="68">
        <v>0</v>
      </c>
      <c r="G188" s="68">
        <v>0</v>
      </c>
      <c r="H188" s="208" t="s">
        <v>286</v>
      </c>
      <c r="I188" s="209"/>
      <c r="J188" s="210"/>
      <c r="K188" s="195" t="s">
        <v>256</v>
      </c>
      <c r="L188" s="195"/>
      <c r="M188" s="195"/>
    </row>
    <row r="189" spans="1:13" outlineLevel="1" x14ac:dyDescent="0.25">
      <c r="B189" s="4"/>
      <c r="C189" s="46"/>
      <c r="D189" s="41"/>
      <c r="E189" s="41"/>
      <c r="F189" s="41"/>
      <c r="G189" s="41"/>
      <c r="H189" s="41"/>
      <c r="I189" s="41"/>
      <c r="J189" s="41"/>
    </row>
    <row r="190" spans="1:13" s="8" customFormat="1" ht="15.75" outlineLevel="1" thickBot="1" x14ac:dyDescent="0.3">
      <c r="A190" s="8" t="s">
        <v>105</v>
      </c>
    </row>
    <row r="191" spans="1:13" outlineLevel="1" x14ac:dyDescent="0.25">
      <c r="B191" s="4"/>
      <c r="F191" s="161"/>
      <c r="G191" s="161"/>
      <c r="H191" s="161"/>
      <c r="I191" s="161"/>
      <c r="J191" s="161"/>
      <c r="K191" s="161"/>
    </row>
    <row r="192" spans="1:13" outlineLevel="1" x14ac:dyDescent="0.25">
      <c r="B192" s="31"/>
      <c r="C192" s="7" t="s">
        <v>80</v>
      </c>
      <c r="D192" s="37" t="str">
        <f>"Variant"&amp;" "&amp;$A$17</f>
        <v>Variant 3a</v>
      </c>
      <c r="E192" s="37" t="str">
        <f>"Variant"&amp;" "&amp;$A$18</f>
        <v>Variant 3b</v>
      </c>
      <c r="F192" s="37" t="str">
        <f>"Variant"&amp;" "&amp;$A$19</f>
        <v>Variant 3c</v>
      </c>
      <c r="G192" s="37" t="str">
        <f>"Variant"&amp;" "&amp;$A$20</f>
        <v>Variant 3d</v>
      </c>
      <c r="H192" s="202" t="s">
        <v>3</v>
      </c>
      <c r="I192" s="203"/>
      <c r="J192" s="204"/>
      <c r="K192" s="202" t="s">
        <v>83</v>
      </c>
      <c r="L192" s="203"/>
      <c r="M192" s="204"/>
    </row>
    <row r="193" spans="1:18" ht="14.45" customHeight="1" outlineLevel="1" x14ac:dyDescent="0.25">
      <c r="B193" s="32" t="s">
        <v>105</v>
      </c>
      <c r="C193" s="6" t="s">
        <v>85</v>
      </c>
      <c r="D193" s="68">
        <v>0</v>
      </c>
      <c r="E193" s="68">
        <v>0</v>
      </c>
      <c r="F193" s="68">
        <v>0</v>
      </c>
      <c r="G193" s="68">
        <v>0</v>
      </c>
      <c r="H193" s="208" t="s">
        <v>106</v>
      </c>
      <c r="I193" s="209"/>
      <c r="J193" s="210"/>
      <c r="K193" s="208" t="s">
        <v>261</v>
      </c>
      <c r="L193" s="209"/>
      <c r="M193" s="210"/>
    </row>
    <row r="194" spans="1:18" outlineLevel="1" x14ac:dyDescent="0.25">
      <c r="B194" s="4"/>
      <c r="C194" s="46"/>
      <c r="D194" s="41"/>
      <c r="E194" s="41"/>
      <c r="F194" s="41"/>
      <c r="G194" s="41"/>
      <c r="H194" s="41"/>
      <c r="I194" s="41"/>
      <c r="J194" s="41"/>
    </row>
    <row r="195" spans="1:18" s="8" customFormat="1" ht="15.75" outlineLevel="1" thickBot="1" x14ac:dyDescent="0.3">
      <c r="A195" s="8" t="s">
        <v>287</v>
      </c>
    </row>
    <row r="196" spans="1:18" outlineLevel="1" x14ac:dyDescent="0.25">
      <c r="B196" s="4"/>
      <c r="C196" s="46"/>
      <c r="D196" s="41"/>
      <c r="E196" s="41"/>
      <c r="F196" s="41"/>
      <c r="G196" s="41"/>
      <c r="H196" s="41"/>
      <c r="I196" s="41"/>
      <c r="J196" s="41"/>
    </row>
    <row r="197" spans="1:18" outlineLevel="1" x14ac:dyDescent="0.25">
      <c r="B197" s="4"/>
      <c r="C197" s="46"/>
      <c r="D197" s="41"/>
      <c r="E197" s="41"/>
      <c r="F197" s="41"/>
      <c r="G197" s="41"/>
      <c r="H197" s="41"/>
      <c r="I197" s="41"/>
      <c r="J197" s="41"/>
    </row>
    <row r="198" spans="1:18" outlineLevel="1" x14ac:dyDescent="0.25">
      <c r="B198" s="31"/>
      <c r="C198" s="7" t="s">
        <v>80</v>
      </c>
      <c r="D198" s="37" t="str">
        <f>"Variant"&amp;" "&amp;$A$17</f>
        <v>Variant 3a</v>
      </c>
      <c r="E198" s="37" t="str">
        <f>"Variant"&amp;" "&amp;$A$18</f>
        <v>Variant 3b</v>
      </c>
      <c r="F198" s="37" t="str">
        <f>"Variant"&amp;" "&amp;$A$19</f>
        <v>Variant 3c</v>
      </c>
      <c r="G198" s="37" t="str">
        <f>"Variant"&amp;" "&amp;$A$20</f>
        <v>Variant 3d</v>
      </c>
      <c r="H198" s="202" t="s">
        <v>3</v>
      </c>
      <c r="I198" s="203"/>
      <c r="J198" s="204"/>
      <c r="K198" s="234" t="s">
        <v>83</v>
      </c>
      <c r="L198" s="235"/>
      <c r="M198" s="236"/>
    </row>
    <row r="199" spans="1:18" ht="49.9" customHeight="1" outlineLevel="1" x14ac:dyDescent="0.25">
      <c r="B199" s="32" t="s">
        <v>108</v>
      </c>
      <c r="C199" s="32" t="s">
        <v>85</v>
      </c>
      <c r="D199" s="9">
        <v>111120.83162944105</v>
      </c>
      <c r="E199" s="9">
        <v>1661583.2588355243</v>
      </c>
      <c r="F199" s="9">
        <v>111120.83162944105</v>
      </c>
      <c r="G199" s="9">
        <v>111120.83162944105</v>
      </c>
      <c r="H199" s="208" t="s">
        <v>109</v>
      </c>
      <c r="I199" s="209"/>
      <c r="J199" s="209"/>
      <c r="K199" s="195" t="s">
        <v>288</v>
      </c>
      <c r="L199" s="195"/>
      <c r="M199" s="195"/>
      <c r="N199" s="169"/>
      <c r="O199" s="169"/>
      <c r="P199" s="169"/>
      <c r="Q199" s="169"/>
      <c r="R199" s="169"/>
    </row>
    <row r="200" spans="1:18" outlineLevel="1" x14ac:dyDescent="0.25">
      <c r="B200" s="4"/>
      <c r="C200" s="46"/>
      <c r="D200" s="41"/>
      <c r="E200" s="41"/>
      <c r="F200" s="41"/>
      <c r="G200" s="41"/>
      <c r="H200" s="41"/>
      <c r="I200" s="41"/>
      <c r="J200" s="41"/>
    </row>
    <row r="201" spans="1:18" s="8" customFormat="1" ht="15.75" outlineLevel="1" thickBot="1" x14ac:dyDescent="0.3">
      <c r="A201" s="8" t="s">
        <v>289</v>
      </c>
    </row>
    <row r="202" spans="1:18" outlineLevel="1" x14ac:dyDescent="0.25">
      <c r="B202" s="4"/>
      <c r="C202" s="46"/>
      <c r="D202" s="41"/>
      <c r="E202" s="41"/>
      <c r="F202" s="41"/>
      <c r="G202" s="41"/>
      <c r="H202" s="41"/>
      <c r="I202" s="41"/>
      <c r="J202" s="41"/>
    </row>
    <row r="203" spans="1:18" outlineLevel="1" x14ac:dyDescent="0.25">
      <c r="B203" s="227"/>
      <c r="C203" s="227"/>
      <c r="D203" s="37" t="str">
        <f>"Variant"&amp;" "&amp;$A$17</f>
        <v>Variant 3a</v>
      </c>
      <c r="E203" s="37" t="str">
        <f>"Variant"&amp;" "&amp;$A$18</f>
        <v>Variant 3b</v>
      </c>
      <c r="F203" s="37" t="str">
        <f>"Variant"&amp;" "&amp;$A$19</f>
        <v>Variant 3c</v>
      </c>
      <c r="G203" s="37" t="str">
        <f>"Variant"&amp;" "&amp;$A$20</f>
        <v>Variant 3d</v>
      </c>
      <c r="H203" s="202" t="s">
        <v>83</v>
      </c>
      <c r="I203" s="203"/>
      <c r="J203" s="203"/>
      <c r="K203" s="203"/>
      <c r="L203" s="203"/>
      <c r="M203" s="204"/>
    </row>
    <row r="204" spans="1:18" outlineLevel="1" x14ac:dyDescent="0.25">
      <c r="B204" s="207" t="s">
        <v>290</v>
      </c>
      <c r="C204" s="207"/>
      <c r="D204" s="120" t="s">
        <v>133</v>
      </c>
      <c r="E204" s="39" t="s">
        <v>133</v>
      </c>
      <c r="F204" s="39" t="s">
        <v>134</v>
      </c>
      <c r="G204" s="39" t="s">
        <v>134</v>
      </c>
      <c r="H204" s="221"/>
      <c r="I204" s="222"/>
      <c r="J204" s="222"/>
      <c r="K204" s="222"/>
      <c r="L204" s="222"/>
      <c r="M204" s="223"/>
    </row>
    <row r="205" spans="1:18" outlineLevel="1" x14ac:dyDescent="0.25">
      <c r="B205" s="4"/>
      <c r="C205" s="46"/>
      <c r="D205" s="41"/>
      <c r="E205" s="41"/>
      <c r="F205" s="41"/>
      <c r="G205" s="41"/>
      <c r="H205" s="41"/>
      <c r="I205" s="41"/>
      <c r="J205" s="41"/>
    </row>
    <row r="206" spans="1:18" outlineLevel="1" x14ac:dyDescent="0.25">
      <c r="A206" s="11" t="s">
        <v>291</v>
      </c>
      <c r="B206" s="4"/>
      <c r="H206" s="161"/>
      <c r="I206" s="161"/>
      <c r="J206" s="161"/>
      <c r="K206" s="161"/>
      <c r="L206" s="161"/>
      <c r="M206" s="161"/>
    </row>
    <row r="207" spans="1:18" outlineLevel="1" x14ac:dyDescent="0.25">
      <c r="A207" s="53" t="s">
        <v>292</v>
      </c>
      <c r="B207" s="4"/>
      <c r="H207" s="161"/>
      <c r="I207" s="161"/>
      <c r="J207" s="161"/>
      <c r="K207" s="161"/>
      <c r="L207" s="161"/>
      <c r="M207" s="161"/>
    </row>
    <row r="208" spans="1:18" outlineLevel="1" x14ac:dyDescent="0.25">
      <c r="B208" s="4"/>
      <c r="C208" s="46"/>
      <c r="D208" s="41"/>
      <c r="E208" s="41"/>
      <c r="F208" s="41"/>
      <c r="G208" s="41"/>
      <c r="H208" s="41"/>
      <c r="I208" s="41"/>
      <c r="J208" s="41"/>
    </row>
    <row r="209" spans="1:13" ht="28.9" customHeight="1" x14ac:dyDescent="0.25">
      <c r="B209" s="21" t="s">
        <v>293</v>
      </c>
      <c r="C209" s="31" t="s">
        <v>80</v>
      </c>
      <c r="D209" s="37" t="str">
        <f>"Variant"&amp;" "&amp;$A$17</f>
        <v>Variant 3a</v>
      </c>
      <c r="E209" s="37" t="str">
        <f>"Variant"&amp;" "&amp;$A$18</f>
        <v>Variant 3b</v>
      </c>
      <c r="F209" s="37" t="str">
        <f>"Variant"&amp;" "&amp;$A$19</f>
        <v>Variant 3c</v>
      </c>
      <c r="G209" s="37" t="str">
        <f>"Variant"&amp;" "&amp;$A$20</f>
        <v>Variant 3d</v>
      </c>
      <c r="H209" s="202" t="s">
        <v>83</v>
      </c>
      <c r="I209" s="203"/>
      <c r="J209" s="203"/>
      <c r="K209" s="203"/>
      <c r="L209" s="203"/>
      <c r="M209" s="204"/>
    </row>
    <row r="210" spans="1:13" ht="14.45" customHeight="1" x14ac:dyDescent="0.25">
      <c r="B210" s="19" t="s">
        <v>294</v>
      </c>
      <c r="C210" s="32" t="s">
        <v>85</v>
      </c>
      <c r="D210" s="9"/>
      <c r="E210" s="9"/>
      <c r="F210" s="9"/>
      <c r="G210" s="9">
        <v>20000</v>
      </c>
      <c r="H210" s="221" t="s">
        <v>295</v>
      </c>
      <c r="I210" s="222"/>
      <c r="J210" s="222"/>
      <c r="K210" s="222"/>
      <c r="L210" s="222"/>
      <c r="M210" s="223"/>
    </row>
    <row r="211" spans="1:13" x14ac:dyDescent="0.25">
      <c r="B211" s="19"/>
      <c r="C211" s="32" t="s">
        <v>85</v>
      </c>
      <c r="D211" s="9"/>
      <c r="E211" s="9"/>
      <c r="F211" s="9"/>
      <c r="G211" s="9"/>
      <c r="H211" s="221"/>
      <c r="I211" s="222"/>
      <c r="J211" s="222"/>
      <c r="K211" s="222"/>
      <c r="L211" s="222"/>
      <c r="M211" s="223"/>
    </row>
    <row r="212" spans="1:13" ht="30.75" thickBot="1" x14ac:dyDescent="0.3">
      <c r="B212" s="56" t="s">
        <v>296</v>
      </c>
      <c r="C212" s="49" t="s">
        <v>85</v>
      </c>
      <c r="D212" s="51">
        <f>SUM(D210:D211)</f>
        <v>0</v>
      </c>
      <c r="E212" s="51">
        <f>SUM(E210:E211)</f>
        <v>0</v>
      </c>
      <c r="F212" s="51">
        <f>SUM(F210:F211)</f>
        <v>0</v>
      </c>
      <c r="G212" s="51">
        <f>SUM(G210:G211)</f>
        <v>20000</v>
      </c>
    </row>
    <row r="213" spans="1:13" ht="15.75" outlineLevel="1" thickTop="1" x14ac:dyDescent="0.25">
      <c r="B213" s="4"/>
      <c r="C213" s="46"/>
      <c r="D213" s="41"/>
      <c r="E213" s="41"/>
      <c r="F213" s="41"/>
      <c r="G213" s="41"/>
      <c r="H213" s="41"/>
      <c r="I213" s="41"/>
      <c r="J213" s="41"/>
    </row>
    <row r="214" spans="1:13" outlineLevel="1" x14ac:dyDescent="0.25">
      <c r="A214" s="11" t="s">
        <v>114</v>
      </c>
      <c r="B214" s="4"/>
      <c r="H214" s="161"/>
      <c r="I214" s="161"/>
      <c r="J214" s="161"/>
      <c r="K214" s="161"/>
      <c r="L214" s="161"/>
      <c r="M214" s="161"/>
    </row>
    <row r="215" spans="1:13" outlineLevel="1" x14ac:dyDescent="0.25">
      <c r="B215" s="4"/>
      <c r="C215" s="46"/>
      <c r="D215" s="41"/>
      <c r="E215" s="41"/>
      <c r="F215" s="41"/>
      <c r="G215" s="41"/>
      <c r="H215" s="41"/>
      <c r="I215" s="41"/>
      <c r="J215" s="41"/>
    </row>
    <row r="216" spans="1:13" outlineLevel="1" x14ac:dyDescent="0.25">
      <c r="C216" s="31" t="s">
        <v>80</v>
      </c>
      <c r="D216" s="37" t="str">
        <f>"Variant"&amp;" "&amp;$A$17</f>
        <v>Variant 3a</v>
      </c>
      <c r="E216" s="37" t="str">
        <f>"Variant"&amp;" "&amp;$A$18</f>
        <v>Variant 3b</v>
      </c>
      <c r="F216" s="37" t="str">
        <f>"Variant"&amp;" "&amp;$A$19</f>
        <v>Variant 3c</v>
      </c>
      <c r="G216" s="37" t="str">
        <f>"Variant"&amp;" "&amp;$A$20</f>
        <v>Variant 3d</v>
      </c>
      <c r="H216" s="202" t="s">
        <v>83</v>
      </c>
      <c r="I216" s="203"/>
      <c r="J216" s="203"/>
      <c r="K216" s="203"/>
      <c r="L216" s="203"/>
      <c r="M216" s="204"/>
    </row>
    <row r="217" spans="1:13" ht="14.45" customHeight="1" outlineLevel="1" x14ac:dyDescent="0.25">
      <c r="B217" s="31" t="s">
        <v>154</v>
      </c>
      <c r="C217" s="32" t="s">
        <v>155</v>
      </c>
      <c r="D217" s="167" t="str">
        <f>IF(D204="Yes",D97,"N/A")</f>
        <v>N/A</v>
      </c>
      <c r="E217" s="167" t="str">
        <f>IF(E204="Yes",E97,"N/A")</f>
        <v>N/A</v>
      </c>
      <c r="F217" s="167" t="str">
        <f>IF(F204="Yes",F97,"N/A")</f>
        <v>Urban</v>
      </c>
      <c r="G217" s="167" t="str">
        <f>IF(G204="Yes",G97,"N/A")</f>
        <v>Urban</v>
      </c>
      <c r="H217" s="221" t="s">
        <v>297</v>
      </c>
      <c r="I217" s="222"/>
      <c r="J217" s="222"/>
      <c r="K217" s="222"/>
      <c r="L217" s="222"/>
      <c r="M217" s="223"/>
    </row>
    <row r="218" spans="1:13" outlineLevel="1" x14ac:dyDescent="0.25">
      <c r="B218" s="4"/>
      <c r="C218" s="46"/>
      <c r="D218" s="41"/>
      <c r="E218" s="41"/>
      <c r="F218" s="41"/>
      <c r="G218" s="41"/>
      <c r="H218" s="41"/>
      <c r="I218" s="41"/>
      <c r="J218" s="41"/>
    </row>
    <row r="219" spans="1:13" outlineLevel="1" x14ac:dyDescent="0.25">
      <c r="B219" s="31" t="s">
        <v>159</v>
      </c>
      <c r="C219" s="31" t="s">
        <v>80</v>
      </c>
      <c r="D219" s="37" t="str">
        <f>"Variant"&amp;" "&amp;$A$17</f>
        <v>Variant 3a</v>
      </c>
      <c r="E219" s="37" t="str">
        <f>"Variant"&amp;" "&amp;$A$18</f>
        <v>Variant 3b</v>
      </c>
      <c r="F219" s="37" t="str">
        <f>"Variant"&amp;" "&amp;$A$19</f>
        <v>Variant 3c</v>
      </c>
      <c r="G219" s="37" t="str">
        <f>"Variant"&amp;" "&amp;$A$20</f>
        <v>Variant 3d</v>
      </c>
      <c r="H219" s="202" t="s">
        <v>83</v>
      </c>
      <c r="I219" s="203"/>
      <c r="J219" s="203"/>
      <c r="K219" s="203"/>
      <c r="L219" s="203"/>
      <c r="M219" s="204"/>
    </row>
    <row r="220" spans="1:13" ht="14.45" customHeight="1" outlineLevel="1" x14ac:dyDescent="0.25">
      <c r="B220" s="19" t="s">
        <v>160</v>
      </c>
      <c r="C220" s="32" t="s">
        <v>161</v>
      </c>
      <c r="D220" s="15" t="str">
        <f>IF(D$217="","",IF(D$217="N/A","",_xlfn.XLOOKUP(D$217,'Network costing zones'!$D$4:$F$4,'Network costing zones'!$D39:$F39,"error")))</f>
        <v/>
      </c>
      <c r="E220" s="15" t="str">
        <f>IF(E$217="","",IF(E$217="N/A","",_xlfn.XLOOKUP(E$217,'Network costing zones'!$D$4:$F$4,'Network costing zones'!$D39:$F39,"error")))</f>
        <v/>
      </c>
      <c r="F220" s="15">
        <f>IF(F$217="","",IF(F$217="N/A","",_xlfn.XLOOKUP(F$217,'Network costing zones'!$D$4:$F$4,'Network costing zones'!$D5:$F5,"error")))</f>
        <v>240</v>
      </c>
      <c r="G220" s="15">
        <f>IF(G$217="","",IF(G$217="N/A","",_xlfn.XLOOKUP(G$217,'Network costing zones'!$D$4:$F$4,'Network costing zones'!$D5:$F5,"error")))</f>
        <v>240</v>
      </c>
      <c r="H220" s="228" t="s">
        <v>162</v>
      </c>
      <c r="I220" s="229"/>
      <c r="J220" s="229"/>
      <c r="K220" s="229"/>
      <c r="L220" s="229"/>
      <c r="M220" s="230"/>
    </row>
    <row r="221" spans="1:13" outlineLevel="1" x14ac:dyDescent="0.25">
      <c r="B221" s="19" t="s">
        <v>163</v>
      </c>
      <c r="C221" s="32" t="s">
        <v>161</v>
      </c>
      <c r="D221" s="15" t="str">
        <f>IF(D$217="","",IF(D$217="N/A","",_xlfn.XLOOKUP(D$217,'Network costing zones'!$D$4:$F$4,'Network costing zones'!$D40:$F40,"error")))</f>
        <v/>
      </c>
      <c r="E221" s="15" t="str">
        <f>IF(E$217="","",IF(E$217="N/A","",_xlfn.XLOOKUP(E$217,'Network costing zones'!$D$4:$F$4,'Network costing zones'!$D40:$F40,"error")))</f>
        <v/>
      </c>
      <c r="F221" s="15">
        <f>IF(F$217="","",IF(F$217="N/A","",_xlfn.XLOOKUP(F$217,'Network costing zones'!$D$4:$F$4,'Network costing zones'!$D6:$F6,"error")))</f>
        <v>600</v>
      </c>
      <c r="G221" s="15">
        <f>IF(G$217="","",IF(G$217="N/A","",_xlfn.XLOOKUP(G$217,'Network costing zones'!$D$4:$F$4,'Network costing zones'!$D6:$F6,"error")))</f>
        <v>600</v>
      </c>
      <c r="H221" s="237"/>
      <c r="I221" s="238"/>
      <c r="J221" s="238"/>
      <c r="K221" s="238"/>
      <c r="L221" s="238"/>
      <c r="M221" s="239"/>
    </row>
    <row r="222" spans="1:13" outlineLevel="1" x14ac:dyDescent="0.25">
      <c r="B222" s="19" t="s">
        <v>164</v>
      </c>
      <c r="C222" s="32" t="s">
        <v>161</v>
      </c>
      <c r="D222" s="15" t="str">
        <f>IF(D$217="","",IF(D$217="N/A","",_xlfn.XLOOKUP(D$217,'Network costing zones'!$D$4:$F$4,'Network costing zones'!$D41:$F41,"error")))</f>
        <v/>
      </c>
      <c r="E222" s="15" t="str">
        <f>IF(E$217="","",IF(E$217="N/A","",_xlfn.XLOOKUP(E$217,'Network costing zones'!$D$4:$F$4,'Network costing zones'!$D41:$F41,"error")))</f>
        <v/>
      </c>
      <c r="F222" s="15">
        <f>IF(F$217="","",IF(F$217="N/A","",_xlfn.XLOOKUP(F$217,'Network costing zones'!$D$4:$F$4,'Network costing zones'!$D7:$F7,"error")))</f>
        <v>85</v>
      </c>
      <c r="G222" s="15">
        <f>IF(G$217="","",IF(G$217="N/A","",_xlfn.XLOOKUP(G$217,'Network costing zones'!$D$4:$F$4,'Network costing zones'!$D7:$F7,"error")))</f>
        <v>85</v>
      </c>
      <c r="H222" s="237"/>
      <c r="I222" s="238"/>
      <c r="J222" s="238"/>
      <c r="K222" s="238"/>
      <c r="L222" s="238"/>
      <c r="M222" s="239"/>
    </row>
    <row r="223" spans="1:13" outlineLevel="1" x14ac:dyDescent="0.25">
      <c r="B223" s="19" t="s">
        <v>165</v>
      </c>
      <c r="C223" s="32" t="s">
        <v>161</v>
      </c>
      <c r="D223" s="15" t="str">
        <f>IF(D$217="","",IF(D$217="N/A","",_xlfn.XLOOKUP(D$217,'Network costing zones'!$D$4:$F$4,'Network costing zones'!$D42:$F42,"error")))</f>
        <v/>
      </c>
      <c r="E223" s="15" t="str">
        <f>IF(E$217="","",IF(E$217="N/A","",_xlfn.XLOOKUP(E$217,'Network costing zones'!$D$4:$F$4,'Network costing zones'!$D42:$F42,"error")))</f>
        <v/>
      </c>
      <c r="F223" s="15">
        <f>IF(F$217="","",IF(F$217="N/A","",_xlfn.XLOOKUP(F$217,'Network costing zones'!$D$4:$F$4,'Network costing zones'!$D8:$F8,"error")))</f>
        <v>380</v>
      </c>
      <c r="G223" s="15">
        <f>IF(G$217="","",IF(G$217="N/A","",_xlfn.XLOOKUP(G$217,'Network costing zones'!$D$4:$F$4,'Network costing zones'!$D8:$F8,"error")))</f>
        <v>380</v>
      </c>
      <c r="H223" s="237"/>
      <c r="I223" s="238"/>
      <c r="J223" s="238"/>
      <c r="K223" s="238"/>
      <c r="L223" s="238"/>
      <c r="M223" s="239"/>
    </row>
    <row r="224" spans="1:13" outlineLevel="1" x14ac:dyDescent="0.25">
      <c r="B224" s="19" t="s">
        <v>166</v>
      </c>
      <c r="C224" s="32" t="s">
        <v>161</v>
      </c>
      <c r="D224" s="15" t="str">
        <f>IF(D$217="","",IF(D$217="N/A","",_xlfn.XLOOKUP(D$217,'Network costing zones'!$D$4:$F$4,'Network costing zones'!$D43:$F43,"error")))</f>
        <v/>
      </c>
      <c r="E224" s="15" t="str">
        <f>IF(E$217="","",IF(E$217="N/A","",_xlfn.XLOOKUP(E$217,'Network costing zones'!$D$4:$F$4,'Network costing zones'!$D43:$F43,"error")))</f>
        <v/>
      </c>
      <c r="F224" s="15">
        <f>IF(F$217="","",IF(F$217="N/A","",_xlfn.XLOOKUP(F$217,'Network costing zones'!$D$4:$F$4,'Network costing zones'!$D9:$F9,"error")))</f>
        <v>140</v>
      </c>
      <c r="G224" s="15">
        <f>IF(G$217="","",IF(G$217="N/A","",_xlfn.XLOOKUP(G$217,'Network costing zones'!$D$4:$F$4,'Network costing zones'!$D9:$F9,"error")))</f>
        <v>140</v>
      </c>
      <c r="H224" s="231"/>
      <c r="I224" s="232"/>
      <c r="J224" s="232"/>
      <c r="K224" s="232"/>
      <c r="L224" s="232"/>
      <c r="M224" s="233"/>
    </row>
    <row r="225" spans="2:13" outlineLevel="1" x14ac:dyDescent="0.25"/>
    <row r="226" spans="2:13" ht="28.9" customHeight="1" x14ac:dyDescent="0.25">
      <c r="B226" s="31" t="s">
        <v>298</v>
      </c>
      <c r="C226" s="31" t="s">
        <v>80</v>
      </c>
      <c r="D226" s="37" t="str">
        <f>"Variant"&amp;" "&amp;$A$17</f>
        <v>Variant 3a</v>
      </c>
      <c r="E226" s="37" t="str">
        <f>"Variant"&amp;" "&amp;$A$18</f>
        <v>Variant 3b</v>
      </c>
      <c r="F226" s="37" t="str">
        <f>"Variant"&amp;" "&amp;$A$19</f>
        <v>Variant 3c</v>
      </c>
      <c r="G226" s="37" t="str">
        <f>"Variant"&amp;" "&amp;$A$20</f>
        <v>Variant 3d</v>
      </c>
      <c r="H226" s="207" t="s">
        <v>83</v>
      </c>
      <c r="I226" s="207"/>
      <c r="J226" s="207"/>
      <c r="K226" s="207"/>
      <c r="L226" s="207"/>
      <c r="M226" s="207"/>
    </row>
    <row r="227" spans="2:13" ht="14.45" customHeight="1" x14ac:dyDescent="0.25">
      <c r="B227" s="19" t="s">
        <v>160</v>
      </c>
      <c r="C227" s="32" t="s">
        <v>168</v>
      </c>
      <c r="D227" s="9"/>
      <c r="E227" s="9"/>
      <c r="F227" s="9">
        <v>0</v>
      </c>
      <c r="G227" s="9">
        <v>0</v>
      </c>
      <c r="H227" s="221"/>
      <c r="I227" s="222"/>
      <c r="J227" s="222"/>
      <c r="K227" s="222"/>
      <c r="L227" s="222"/>
      <c r="M227" s="223"/>
    </row>
    <row r="228" spans="2:13" ht="14.45" customHeight="1" x14ac:dyDescent="0.25">
      <c r="B228" s="19" t="s">
        <v>163</v>
      </c>
      <c r="C228" s="32" t="s">
        <v>168</v>
      </c>
      <c r="D228" s="9"/>
      <c r="E228" s="9"/>
      <c r="F228" s="9">
        <v>0</v>
      </c>
      <c r="G228" s="9">
        <v>0</v>
      </c>
      <c r="H228" s="221"/>
      <c r="I228" s="222"/>
      <c r="J228" s="222"/>
      <c r="K228" s="222"/>
      <c r="L228" s="222"/>
      <c r="M228" s="223"/>
    </row>
    <row r="229" spans="2:13" ht="14.45" customHeight="1" x14ac:dyDescent="0.25">
      <c r="B229" s="19" t="s">
        <v>164</v>
      </c>
      <c r="C229" s="32" t="s">
        <v>168</v>
      </c>
      <c r="D229" s="9"/>
      <c r="E229" s="9"/>
      <c r="F229" s="9">
        <v>0</v>
      </c>
      <c r="G229" s="9">
        <v>0</v>
      </c>
      <c r="H229" s="221"/>
      <c r="I229" s="222"/>
      <c r="J229" s="222"/>
      <c r="K229" s="222"/>
      <c r="L229" s="222"/>
      <c r="M229" s="223"/>
    </row>
    <row r="230" spans="2:13" ht="14.45" customHeight="1" x14ac:dyDescent="0.25">
      <c r="B230" s="19" t="s">
        <v>165</v>
      </c>
      <c r="C230" s="32" t="s">
        <v>168</v>
      </c>
      <c r="D230" s="9"/>
      <c r="E230" s="9"/>
      <c r="F230" s="9">
        <v>500</v>
      </c>
      <c r="G230" s="9">
        <v>0</v>
      </c>
      <c r="H230" s="228" t="s">
        <v>299</v>
      </c>
      <c r="I230" s="229"/>
      <c r="J230" s="229"/>
      <c r="K230" s="229"/>
      <c r="L230" s="229"/>
      <c r="M230" s="230"/>
    </row>
    <row r="231" spans="2:13" x14ac:dyDescent="0.25">
      <c r="B231" s="19" t="s">
        <v>166</v>
      </c>
      <c r="C231" s="32" t="s">
        <v>168</v>
      </c>
      <c r="D231" s="9"/>
      <c r="E231" s="9"/>
      <c r="F231" s="9">
        <v>500</v>
      </c>
      <c r="G231" s="9">
        <v>0</v>
      </c>
      <c r="H231" s="231"/>
      <c r="I231" s="232"/>
      <c r="J231" s="232"/>
      <c r="K231" s="232"/>
      <c r="L231" s="232"/>
      <c r="M231" s="233"/>
    </row>
    <row r="232" spans="2:13" x14ac:dyDescent="0.25">
      <c r="D232" s="14"/>
    </row>
    <row r="233" spans="2:13" ht="30" x14ac:dyDescent="0.25">
      <c r="B233" s="7" t="s">
        <v>300</v>
      </c>
      <c r="C233" s="31" t="s">
        <v>80</v>
      </c>
      <c r="D233" s="37" t="str">
        <f>"Variant"&amp;" "&amp;$A$17</f>
        <v>Variant 3a</v>
      </c>
      <c r="E233" s="37" t="str">
        <f>"Variant"&amp;" "&amp;$A$18</f>
        <v>Variant 3b</v>
      </c>
      <c r="F233" s="37" t="str">
        <f>"Variant"&amp;" "&amp;$A$19</f>
        <v>Variant 3c</v>
      </c>
      <c r="G233" s="37" t="str">
        <f>"Variant"&amp;" "&amp;$A$20</f>
        <v>Variant 3d</v>
      </c>
      <c r="H233" s="207" t="s">
        <v>83</v>
      </c>
      <c r="I233" s="207"/>
      <c r="J233" s="207"/>
      <c r="K233" s="207"/>
      <c r="L233" s="207"/>
      <c r="M233" s="207"/>
    </row>
    <row r="234" spans="2:13" x14ac:dyDescent="0.25">
      <c r="B234" s="19" t="s">
        <v>160</v>
      </c>
      <c r="C234" s="32" t="s">
        <v>85</v>
      </c>
      <c r="D234" s="17" t="str">
        <f>IF(D$204="Yes",D220*D227,"")</f>
        <v/>
      </c>
      <c r="E234" s="17" t="str">
        <f t="shared" ref="E234:G234" si="17">IF(E$204="Yes",E220*E227,"")</f>
        <v/>
      </c>
      <c r="F234" s="17">
        <f t="shared" si="17"/>
        <v>0</v>
      </c>
      <c r="G234" s="17">
        <f t="shared" si="17"/>
        <v>0</v>
      </c>
      <c r="H234" s="201"/>
      <c r="I234" s="201"/>
      <c r="J234" s="201"/>
      <c r="K234" s="201"/>
      <c r="L234" s="201"/>
      <c r="M234" s="201"/>
    </row>
    <row r="235" spans="2:13" x14ac:dyDescent="0.25">
      <c r="B235" s="19" t="s">
        <v>163</v>
      </c>
      <c r="C235" s="32" t="s">
        <v>85</v>
      </c>
      <c r="D235" s="17" t="str">
        <f t="shared" ref="D235:G238" si="18">IF(D$204="Yes",D221*D228,"")</f>
        <v/>
      </c>
      <c r="E235" s="17" t="str">
        <f t="shared" si="18"/>
        <v/>
      </c>
      <c r="F235" s="17">
        <f t="shared" si="18"/>
        <v>0</v>
      </c>
      <c r="G235" s="17">
        <f t="shared" si="18"/>
        <v>0</v>
      </c>
      <c r="H235" s="221"/>
      <c r="I235" s="222"/>
      <c r="J235" s="222"/>
      <c r="K235" s="222"/>
      <c r="L235" s="222"/>
      <c r="M235" s="223"/>
    </row>
    <row r="236" spans="2:13" x14ac:dyDescent="0.25">
      <c r="B236" s="19" t="s">
        <v>164</v>
      </c>
      <c r="C236" s="32" t="s">
        <v>85</v>
      </c>
      <c r="D236" s="17" t="str">
        <f t="shared" si="18"/>
        <v/>
      </c>
      <c r="E236" s="17" t="str">
        <f t="shared" si="18"/>
        <v/>
      </c>
      <c r="F236" s="17">
        <f t="shared" si="18"/>
        <v>0</v>
      </c>
      <c r="G236" s="17">
        <f t="shared" si="18"/>
        <v>0</v>
      </c>
      <c r="H236" s="221"/>
      <c r="I236" s="222"/>
      <c r="J236" s="222"/>
      <c r="K236" s="222"/>
      <c r="L236" s="222"/>
      <c r="M236" s="223"/>
    </row>
    <row r="237" spans="2:13" x14ac:dyDescent="0.25">
      <c r="B237" s="19" t="s">
        <v>165</v>
      </c>
      <c r="C237" s="32" t="s">
        <v>85</v>
      </c>
      <c r="D237" s="17" t="str">
        <f t="shared" si="18"/>
        <v/>
      </c>
      <c r="E237" s="17" t="str">
        <f t="shared" si="18"/>
        <v/>
      </c>
      <c r="F237" s="17">
        <f t="shared" si="18"/>
        <v>190000</v>
      </c>
      <c r="G237" s="17">
        <f t="shared" si="18"/>
        <v>0</v>
      </c>
      <c r="H237" s="221"/>
      <c r="I237" s="222"/>
      <c r="J237" s="222"/>
      <c r="K237" s="222"/>
      <c r="L237" s="222"/>
      <c r="M237" s="223"/>
    </row>
    <row r="238" spans="2:13" x14ac:dyDescent="0.25">
      <c r="B238" s="19" t="s">
        <v>166</v>
      </c>
      <c r="C238" s="32" t="s">
        <v>85</v>
      </c>
      <c r="D238" s="17" t="str">
        <f t="shared" si="18"/>
        <v/>
      </c>
      <c r="E238" s="17" t="str">
        <f t="shared" si="18"/>
        <v/>
      </c>
      <c r="F238" s="17">
        <f t="shared" si="18"/>
        <v>70000</v>
      </c>
      <c r="G238" s="17">
        <f t="shared" si="18"/>
        <v>0</v>
      </c>
      <c r="H238" s="221"/>
      <c r="I238" s="222"/>
      <c r="J238" s="222"/>
      <c r="K238" s="222"/>
      <c r="L238" s="222"/>
      <c r="M238" s="223"/>
    </row>
    <row r="239" spans="2:13" ht="15.75" thickBot="1" x14ac:dyDescent="0.3">
      <c r="B239" s="50" t="s">
        <v>301</v>
      </c>
      <c r="C239" s="49" t="s">
        <v>85</v>
      </c>
      <c r="D239" s="51">
        <f>SUM(D234:D238)</f>
        <v>0</v>
      </c>
      <c r="E239" s="51">
        <f t="shared" ref="E239:G239" si="19">SUM(E234:E238)</f>
        <v>0</v>
      </c>
      <c r="F239" s="51">
        <f>SUM(F234:F238)</f>
        <v>260000</v>
      </c>
      <c r="G239" s="51">
        <f t="shared" si="19"/>
        <v>0</v>
      </c>
    </row>
    <row r="240" spans="2:13" outlineLevel="1" x14ac:dyDescent="0.25">
      <c r="B240" s="4"/>
      <c r="C240" s="46"/>
      <c r="D240" s="41"/>
      <c r="E240" s="41"/>
      <c r="F240" s="41"/>
      <c r="G240" s="41"/>
      <c r="H240" s="41"/>
      <c r="I240" s="41"/>
      <c r="J240" s="41"/>
    </row>
    <row r="241" spans="1:13" s="8" customFormat="1" outlineLevel="1" x14ac:dyDescent="0.25">
      <c r="A241" s="8" t="s">
        <v>193</v>
      </c>
    </row>
    <row r="242" spans="1:13" outlineLevel="1" x14ac:dyDescent="0.25">
      <c r="A242" s="53" t="s">
        <v>194</v>
      </c>
    </row>
    <row r="243" spans="1:13" outlineLevel="1" x14ac:dyDescent="0.25">
      <c r="B243" s="4"/>
      <c r="C243" s="46"/>
      <c r="D243" s="12"/>
      <c r="E243" s="12"/>
      <c r="F243" s="12"/>
      <c r="G243" s="12"/>
      <c r="H243" s="12"/>
      <c r="I243" s="12"/>
      <c r="J243" s="12"/>
    </row>
    <row r="244" spans="1:13" outlineLevel="1" x14ac:dyDescent="0.25">
      <c r="B244" s="31" t="s">
        <v>119</v>
      </c>
      <c r="C244" s="7" t="s">
        <v>80</v>
      </c>
      <c r="D244" s="37" t="str">
        <f>"Variant"&amp;" "&amp;$A$17</f>
        <v>Variant 3a</v>
      </c>
      <c r="E244" s="37" t="str">
        <f>"Variant"&amp;" "&amp;$A$18</f>
        <v>Variant 3b</v>
      </c>
      <c r="F244" s="37" t="str">
        <f>"Variant"&amp;" "&amp;$A$19</f>
        <v>Variant 3c</v>
      </c>
      <c r="G244" s="37" t="str">
        <f>"Variant"&amp;" "&amp;$A$20</f>
        <v>Variant 3d</v>
      </c>
      <c r="H244" s="202" t="s">
        <v>3</v>
      </c>
      <c r="I244" s="203"/>
      <c r="J244" s="204"/>
      <c r="K244" s="202" t="s">
        <v>83</v>
      </c>
      <c r="L244" s="203"/>
      <c r="M244" s="204"/>
    </row>
    <row r="245" spans="1:13" ht="14.45" customHeight="1" outlineLevel="1" x14ac:dyDescent="0.25">
      <c r="B245" s="32" t="s">
        <v>120</v>
      </c>
      <c r="C245" s="6" t="s">
        <v>85</v>
      </c>
      <c r="D245" s="68">
        <v>0</v>
      </c>
      <c r="E245" s="68">
        <v>0</v>
      </c>
      <c r="F245" s="68">
        <v>0</v>
      </c>
      <c r="G245" s="68">
        <v>0</v>
      </c>
      <c r="H245" s="208" t="s">
        <v>195</v>
      </c>
      <c r="I245" s="209"/>
      <c r="J245" s="210"/>
      <c r="K245" s="208" t="s">
        <v>261</v>
      </c>
      <c r="L245" s="209"/>
      <c r="M245" s="210"/>
    </row>
    <row r="246" spans="1:13" outlineLevel="1" x14ac:dyDescent="0.25">
      <c r="B246" s="4"/>
      <c r="C246" s="46"/>
      <c r="D246" s="41"/>
      <c r="E246" s="41"/>
      <c r="F246" s="41"/>
      <c r="G246" s="41"/>
      <c r="H246" s="41"/>
      <c r="I246" s="41"/>
      <c r="J246" s="41"/>
    </row>
    <row r="247" spans="1:13" s="8" customFormat="1" outlineLevel="1" x14ac:dyDescent="0.25">
      <c r="A247" s="8" t="s">
        <v>123</v>
      </c>
    </row>
    <row r="248" spans="1:13" outlineLevel="1" x14ac:dyDescent="0.25">
      <c r="A248" s="53" t="s">
        <v>197</v>
      </c>
    </row>
    <row r="249" spans="1:13" outlineLevel="1" x14ac:dyDescent="0.25">
      <c r="B249" s="4"/>
      <c r="C249" s="46"/>
      <c r="D249" s="12"/>
      <c r="E249" s="12"/>
      <c r="F249" s="12"/>
      <c r="G249" s="12"/>
      <c r="H249" s="12"/>
      <c r="I249" s="12"/>
      <c r="J249" s="12"/>
    </row>
    <row r="250" spans="1:13" outlineLevel="1" x14ac:dyDescent="0.25">
      <c r="B250" s="31" t="s">
        <v>198</v>
      </c>
      <c r="C250" s="7" t="s">
        <v>80</v>
      </c>
      <c r="D250" s="37" t="str">
        <f>"Variant"&amp;" "&amp;$A$17</f>
        <v>Variant 3a</v>
      </c>
      <c r="E250" s="37" t="str">
        <f>"Variant"&amp;" "&amp;$A$18</f>
        <v>Variant 3b</v>
      </c>
      <c r="F250" s="37" t="str">
        <f>"Variant"&amp;" "&amp;$A$19</f>
        <v>Variant 3c</v>
      </c>
      <c r="G250" s="37" t="str">
        <f>"Variant"&amp;" "&amp;$A$20</f>
        <v>Variant 3d</v>
      </c>
      <c r="H250" s="202" t="s">
        <v>3</v>
      </c>
      <c r="I250" s="203"/>
      <c r="J250" s="204"/>
      <c r="K250" s="202" t="s">
        <v>83</v>
      </c>
      <c r="L250" s="203"/>
      <c r="M250" s="204"/>
    </row>
    <row r="251" spans="1:13" ht="25.15" customHeight="1" outlineLevel="1" x14ac:dyDescent="0.25">
      <c r="B251" s="40" t="s">
        <v>199</v>
      </c>
      <c r="C251" s="6" t="s">
        <v>85</v>
      </c>
      <c r="D251" s="9">
        <v>7690</v>
      </c>
      <c r="E251" s="9">
        <v>7690</v>
      </c>
      <c r="F251" s="9">
        <v>7690</v>
      </c>
      <c r="G251" s="9">
        <v>7690</v>
      </c>
      <c r="H251" s="208" t="s">
        <v>200</v>
      </c>
      <c r="I251" s="209"/>
      <c r="J251" s="210"/>
      <c r="K251" s="208" t="s">
        <v>201</v>
      </c>
      <c r="L251" s="209"/>
      <c r="M251" s="210"/>
    </row>
    <row r="252" spans="1:13" ht="25.15" customHeight="1" outlineLevel="1" x14ac:dyDescent="0.25">
      <c r="B252" s="40" t="s">
        <v>202</v>
      </c>
      <c r="C252" s="6" t="s">
        <v>85</v>
      </c>
      <c r="D252" s="9">
        <v>1850</v>
      </c>
      <c r="E252" s="9">
        <v>1850</v>
      </c>
      <c r="F252" s="9">
        <v>1850</v>
      </c>
      <c r="G252" s="9">
        <v>1850</v>
      </c>
      <c r="H252" s="208" t="s">
        <v>203</v>
      </c>
      <c r="I252" s="209"/>
      <c r="J252" s="210"/>
      <c r="K252" s="208" t="s">
        <v>201</v>
      </c>
      <c r="L252" s="209"/>
      <c r="M252" s="210"/>
    </row>
    <row r="253" spans="1:13" ht="15.75" outlineLevel="1" thickBot="1" x14ac:dyDescent="0.3">
      <c r="B253" s="43" t="s">
        <v>204</v>
      </c>
      <c r="C253" s="42" t="s">
        <v>85</v>
      </c>
      <c r="D253" s="44">
        <f t="shared" ref="D253:E253" si="20">SUM(D251:D252)</f>
        <v>9540</v>
      </c>
      <c r="E253" s="44">
        <f t="shared" si="20"/>
        <v>9540</v>
      </c>
      <c r="F253" s="44">
        <f t="shared" ref="F253:G253" si="21">SUM(F251:F252)</f>
        <v>9540</v>
      </c>
      <c r="G253" s="44">
        <f t="shared" si="21"/>
        <v>9540</v>
      </c>
    </row>
    <row r="254" spans="1:13" outlineLevel="1" x14ac:dyDescent="0.25"/>
  </sheetData>
  <mergeCells count="160">
    <mergeCell ref="B203:C203"/>
    <mergeCell ref="B204:C204"/>
    <mergeCell ref="H230:M231"/>
    <mergeCell ref="H252:J252"/>
    <mergeCell ref="H245:J245"/>
    <mergeCell ref="H198:J198"/>
    <mergeCell ref="K198:M198"/>
    <mergeCell ref="H199:J199"/>
    <mergeCell ref="K199:M199"/>
    <mergeCell ref="H237:M237"/>
    <mergeCell ref="H238:M238"/>
    <mergeCell ref="H233:M233"/>
    <mergeCell ref="H244:J244"/>
    <mergeCell ref="H250:J250"/>
    <mergeCell ref="H251:J251"/>
    <mergeCell ref="H229:M229"/>
    <mergeCell ref="H234:M234"/>
    <mergeCell ref="H235:M235"/>
    <mergeCell ref="H236:M236"/>
    <mergeCell ref="H217:M217"/>
    <mergeCell ref="H219:M219"/>
    <mergeCell ref="H220:M224"/>
    <mergeCell ref="H226:M226"/>
    <mergeCell ref="H227:M227"/>
    <mergeCell ref="H167:M167"/>
    <mergeCell ref="H174:M174"/>
    <mergeCell ref="H161:M165"/>
    <mergeCell ref="H168:M172"/>
    <mergeCell ref="H118:M118"/>
    <mergeCell ref="H119:M119"/>
    <mergeCell ref="H120:M120"/>
    <mergeCell ref="H121:M121"/>
    <mergeCell ref="H124:M124"/>
    <mergeCell ref="H125:M125"/>
    <mergeCell ref="H152:M152"/>
    <mergeCell ref="H158:M158"/>
    <mergeCell ref="H130:M130"/>
    <mergeCell ref="H131:M131"/>
    <mergeCell ref="H81:M81"/>
    <mergeCell ref="H82:M82"/>
    <mergeCell ref="H83:M83"/>
    <mergeCell ref="H84:M84"/>
    <mergeCell ref="H85:M85"/>
    <mergeCell ref="H88:M88"/>
    <mergeCell ref="H134:M138"/>
    <mergeCell ref="H157:M157"/>
    <mergeCell ref="H160:M160"/>
    <mergeCell ref="F58:I58"/>
    <mergeCell ref="J58:M58"/>
    <mergeCell ref="F56:I56"/>
    <mergeCell ref="J56:M56"/>
    <mergeCell ref="F52:I52"/>
    <mergeCell ref="J52:M52"/>
    <mergeCell ref="F50:I50"/>
    <mergeCell ref="J50:M50"/>
    <mergeCell ref="F46:I46"/>
    <mergeCell ref="J46:M46"/>
    <mergeCell ref="F47:I47"/>
    <mergeCell ref="J47:M47"/>
    <mergeCell ref="F48:I48"/>
    <mergeCell ref="J48:M48"/>
    <mergeCell ref="F51:I51"/>
    <mergeCell ref="J51:M51"/>
    <mergeCell ref="F57:I57"/>
    <mergeCell ref="J57:M57"/>
    <mergeCell ref="F44:I44"/>
    <mergeCell ref="J44:M44"/>
    <mergeCell ref="F45:I45"/>
    <mergeCell ref="J45:M45"/>
    <mergeCell ref="K188:M188"/>
    <mergeCell ref="F33:I33"/>
    <mergeCell ref="F34:I34"/>
    <mergeCell ref="F35:I35"/>
    <mergeCell ref="F36:I36"/>
    <mergeCell ref="J33:M33"/>
    <mergeCell ref="J34:M34"/>
    <mergeCell ref="J35:M35"/>
    <mergeCell ref="J36:M36"/>
    <mergeCell ref="F38:I38"/>
    <mergeCell ref="H175:M179"/>
    <mergeCell ref="H143:M143"/>
    <mergeCell ref="H150:M150"/>
    <mergeCell ref="H144:M144"/>
    <mergeCell ref="H151:M151"/>
    <mergeCell ref="H133:M133"/>
    <mergeCell ref="H129:M129"/>
    <mergeCell ref="K64:M64"/>
    <mergeCell ref="H64:J64"/>
    <mergeCell ref="H66:M66"/>
    <mergeCell ref="K252:M252"/>
    <mergeCell ref="K245:M245"/>
    <mergeCell ref="K250:M250"/>
    <mergeCell ref="K251:M251"/>
    <mergeCell ref="K192:M192"/>
    <mergeCell ref="K193:M193"/>
    <mergeCell ref="K244:M244"/>
    <mergeCell ref="K186:M186"/>
    <mergeCell ref="K187:M187"/>
    <mergeCell ref="H228:M228"/>
    <mergeCell ref="H204:M204"/>
    <mergeCell ref="H209:M209"/>
    <mergeCell ref="H210:M210"/>
    <mergeCell ref="H211:M211"/>
    <mergeCell ref="H216:M216"/>
    <mergeCell ref="H192:J192"/>
    <mergeCell ref="H186:J186"/>
    <mergeCell ref="H193:J193"/>
    <mergeCell ref="H187:J187"/>
    <mergeCell ref="H188:J188"/>
    <mergeCell ref="H203:M203"/>
    <mergeCell ref="B128:C128"/>
    <mergeCell ref="H126:M126"/>
    <mergeCell ref="H127:M127"/>
    <mergeCell ref="H128:M128"/>
    <mergeCell ref="B123:C123"/>
    <mergeCell ref="B124:C124"/>
    <mergeCell ref="B118:C118"/>
    <mergeCell ref="H114:M114"/>
    <mergeCell ref="H115:M115"/>
    <mergeCell ref="H116:M116"/>
    <mergeCell ref="H117:M117"/>
    <mergeCell ref="H123:M123"/>
    <mergeCell ref="B113:C113"/>
    <mergeCell ref="B114:C114"/>
    <mergeCell ref="H100:M104"/>
    <mergeCell ref="H107:M111"/>
    <mergeCell ref="B66:C66"/>
    <mergeCell ref="B67:C67"/>
    <mergeCell ref="H62:J62"/>
    <mergeCell ref="K62:M62"/>
    <mergeCell ref="H63:J63"/>
    <mergeCell ref="K63:M63"/>
    <mergeCell ref="H67:M67"/>
    <mergeCell ref="H75:M75"/>
    <mergeCell ref="H78:M78"/>
    <mergeCell ref="H96:M96"/>
    <mergeCell ref="H99:M99"/>
    <mergeCell ref="H106:M106"/>
    <mergeCell ref="H113:M113"/>
    <mergeCell ref="H89:M89"/>
    <mergeCell ref="H90:M90"/>
    <mergeCell ref="H91:M91"/>
    <mergeCell ref="H97:M97"/>
    <mergeCell ref="H76:M76"/>
    <mergeCell ref="H79:M79"/>
    <mergeCell ref="H80:M80"/>
    <mergeCell ref="F43:I43"/>
    <mergeCell ref="J43:M43"/>
    <mergeCell ref="J38:M38"/>
    <mergeCell ref="F39:I39"/>
    <mergeCell ref="J39:M39"/>
    <mergeCell ref="F40:I40"/>
    <mergeCell ref="B8:G8"/>
    <mergeCell ref="I8:O8"/>
    <mergeCell ref="B12:Q12"/>
    <mergeCell ref="B26:K26"/>
    <mergeCell ref="B31:C31"/>
    <mergeCell ref="J40:M40"/>
    <mergeCell ref="F41:I41"/>
    <mergeCell ref="J41:M41"/>
  </mergeCells>
  <conditionalFormatting sqref="D210:F210 D211:G212">
    <cfRule type="expression" dxfId="15" priority="2">
      <formula>D$191="No"</formula>
    </cfRule>
  </conditionalFormatting>
  <conditionalFormatting sqref="D228:F229 D230:G231">
    <cfRule type="expression" dxfId="14" priority="4">
      <formula>D$192="No"</formula>
    </cfRule>
  </conditionalFormatting>
  <conditionalFormatting sqref="D89:G91">
    <cfRule type="expression" dxfId="13" priority="17">
      <formula>$D$76="No"</formula>
    </cfRule>
  </conditionalFormatting>
  <conditionalFormatting sqref="D119:G119">
    <cfRule type="expression" dxfId="12" priority="12">
      <formula>$D$135="No"</formula>
    </cfRule>
  </conditionalFormatting>
  <conditionalFormatting sqref="D120:G120">
    <cfRule type="expression" dxfId="11" priority="11">
      <formula>$D$136="No"</formula>
    </cfRule>
  </conditionalFormatting>
  <conditionalFormatting sqref="D121:G121">
    <cfRule type="expression" dxfId="10" priority="10">
      <formula>$D$137="No"</formula>
    </cfRule>
  </conditionalFormatting>
  <conditionalFormatting sqref="D129:G130">
    <cfRule type="expression" dxfId="9" priority="5">
      <formula>$E$146="N/A"</formula>
    </cfRule>
    <cfRule type="expression" dxfId="8" priority="6">
      <formula>$E$146="No"</formula>
    </cfRule>
  </conditionalFormatting>
  <conditionalFormatting sqref="D131:G131">
    <cfRule type="expression" dxfId="7" priority="8">
      <formula>$E$147="N/A"</formula>
    </cfRule>
    <cfRule type="expression" dxfId="6" priority="13">
      <formula>$E$147="No"</formula>
    </cfRule>
  </conditionalFormatting>
  <conditionalFormatting sqref="D227:G227">
    <cfRule type="expression" dxfId="5" priority="3">
      <formula>D$192="No"</formula>
    </cfRule>
  </conditionalFormatting>
  <conditionalFormatting sqref="D251:G252">
    <cfRule type="expression" dxfId="4" priority="1">
      <formula>D$192="No"</formula>
    </cfRule>
  </conditionalFormatting>
  <dataValidations count="1">
    <dataValidation type="list" allowBlank="1" showInputMessage="1" showErrorMessage="1" sqref="D22" xr:uid="{1ED79808-79C5-455D-8DDE-BAD7497CBABF}">
      <formula1>$D$62:$G$62</formula1>
    </dataValidation>
  </dataValidations>
  <pageMargins left="0.7" right="0.7" top="0.75" bottom="0.75" header="0.3" footer="0.3"/>
  <pageSetup paperSize="9" orientation="portrait" r:id="rId1"/>
  <headerFooter>
    <oddHeader>&amp;L&amp;"Calibri"&amp;8&amp;K000000 Sensitivity: General&amp;1#_x000D_</oddHeader>
    <oddFooter>&amp;C_x000D_&amp;1#&amp;"Calibri"&amp;10&amp;K000000 IN-CONFIDENCE: ORGANISATION</oddFooter>
  </headerFooter>
  <extLst>
    <ext xmlns:x14="http://schemas.microsoft.com/office/spreadsheetml/2009/9/main" uri="{CCE6A557-97BC-4b89-ADB6-D9C93CAAB3DF}">
      <x14:dataValidations xmlns:xm="http://schemas.microsoft.com/office/excel/2006/main" count="3">
        <x14:dataValidation type="list" allowBlank="1" showInputMessage="1" showErrorMessage="1" xr:uid="{5848A2D5-9181-487F-8445-C4C7DADA636E}">
          <x14:formula1>
            <xm:f>List!$A$2:$A$4</xm:f>
          </x14:formula1>
          <xm:sqref>D115:G117 D125:G127</xm:sqref>
        </x14:dataValidation>
        <x14:dataValidation type="list" allowBlank="1" showInputMessage="1" showErrorMessage="1" xr:uid="{F1D2BAA0-8ACE-4825-B736-B35B5E9E7B14}">
          <x14:formula1>
            <xm:f>'Network costing zones'!$D$4:$F$4</xm:f>
          </x14:formula1>
          <xm:sqref>D97:G97</xm:sqref>
        </x14:dataValidation>
        <x14:dataValidation type="list" allowBlank="1" showInputMessage="1" showErrorMessage="1" xr:uid="{DD1A1F2D-9106-43F4-829F-30CC155B8E0D}">
          <x14:formula1>
            <xm:f>List!$A$2:$A$3</xm:f>
          </x14:formula1>
          <xm:sqref>D76:G76 D67:G67 D204:G204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50F3CC-19F4-42E2-AD0E-61800A70FC0A}">
  <sheetPr>
    <tabColor theme="5" tint="0.59999389629810485"/>
  </sheetPr>
  <dimension ref="A1:N86"/>
  <sheetViews>
    <sheetView zoomScale="90" zoomScaleNormal="90" workbookViewId="0">
      <pane ySplit="1" topLeftCell="A2" activePane="bottomLeft" state="frozen"/>
      <selection pane="bottomLeft" activeCell="G1" sqref="G1:L1"/>
    </sheetView>
    <sheetView workbookViewId="1"/>
  </sheetViews>
  <sheetFormatPr defaultColWidth="8.85546875" defaultRowHeight="15" outlineLevelRow="1" x14ac:dyDescent="0.25"/>
  <cols>
    <col min="1" max="1" width="8.85546875" style="2"/>
    <col min="2" max="2" width="42.28515625" style="2" customWidth="1"/>
    <col min="3" max="3" width="10.7109375" style="2" customWidth="1"/>
    <col min="4" max="15" width="18.7109375" style="2" customWidth="1"/>
    <col min="16" max="16384" width="8.85546875" style="2"/>
  </cols>
  <sheetData>
    <row r="1" spans="1:12" s="1" customFormat="1" ht="20.25" thickBot="1" x14ac:dyDescent="0.35">
      <c r="A1" s="1" t="s">
        <v>302</v>
      </c>
      <c r="G1" s="1" t="s">
        <v>58</v>
      </c>
      <c r="H1" s="153" t="s">
        <v>59</v>
      </c>
      <c r="I1" s="154" t="s">
        <v>60</v>
      </c>
      <c r="J1" s="155" t="s">
        <v>61</v>
      </c>
      <c r="K1" s="156" t="s">
        <v>62</v>
      </c>
      <c r="L1" s="157" t="s">
        <v>63</v>
      </c>
    </row>
    <row r="2" spans="1:12" ht="15.75" thickTop="1" x14ac:dyDescent="0.25"/>
    <row r="3" spans="1:12" s="151" customFormat="1" ht="18" thickBot="1" x14ac:dyDescent="0.35">
      <c r="A3" s="151" t="s">
        <v>303</v>
      </c>
    </row>
    <row r="4" spans="1:12" ht="15.75" outlineLevel="1" thickTop="1" x14ac:dyDescent="0.25">
      <c r="A4" s="3"/>
    </row>
    <row r="5" spans="1:12" outlineLevel="1" x14ac:dyDescent="0.25">
      <c r="A5" s="3"/>
    </row>
    <row r="6" spans="1:12" ht="72" customHeight="1" outlineLevel="1" x14ac:dyDescent="0.25">
      <c r="A6" s="3"/>
      <c r="B6" s="243" t="s">
        <v>304</v>
      </c>
      <c r="C6" s="244"/>
      <c r="D6" s="244"/>
      <c r="E6" s="244"/>
      <c r="F6" s="244"/>
      <c r="G6" s="244"/>
      <c r="H6" s="244"/>
      <c r="I6" s="244"/>
      <c r="J6" s="245"/>
    </row>
    <row r="7" spans="1:12" outlineLevel="1" x14ac:dyDescent="0.25">
      <c r="A7" s="3"/>
    </row>
    <row r="8" spans="1:12" s="8" customFormat="1" ht="15.75" outlineLevel="1" thickBot="1" x14ac:dyDescent="0.3">
      <c r="A8" s="8" t="s">
        <v>305</v>
      </c>
    </row>
    <row r="9" spans="1:12" x14ac:dyDescent="0.25">
      <c r="A9" s="53"/>
    </row>
    <row r="10" spans="1:12" x14ac:dyDescent="0.25">
      <c r="B10" s="31" t="s">
        <v>306</v>
      </c>
      <c r="C10" s="31" t="s">
        <v>80</v>
      </c>
      <c r="D10" s="31" t="s">
        <v>307</v>
      </c>
      <c r="E10" s="196" t="s">
        <v>3</v>
      </c>
      <c r="F10" s="196"/>
      <c r="G10" s="196"/>
      <c r="H10" s="196" t="s">
        <v>83</v>
      </c>
      <c r="I10" s="196"/>
      <c r="J10" s="196"/>
    </row>
    <row r="11" spans="1:12" ht="28.9" customHeight="1" x14ac:dyDescent="0.25">
      <c r="B11" s="19" t="s">
        <v>308</v>
      </c>
      <c r="C11" s="32" t="s">
        <v>85</v>
      </c>
      <c r="D11" s="68">
        <v>80000</v>
      </c>
      <c r="E11" s="240" t="s">
        <v>309</v>
      </c>
      <c r="F11" s="240"/>
      <c r="G11" s="240"/>
      <c r="H11" s="240"/>
      <c r="I11" s="240"/>
      <c r="J11" s="240"/>
    </row>
    <row r="12" spans="1:12" x14ac:dyDescent="0.25">
      <c r="B12" s="19" t="s">
        <v>310</v>
      </c>
      <c r="C12" s="32" t="s">
        <v>311</v>
      </c>
      <c r="D12" s="68">
        <v>7</v>
      </c>
      <c r="E12" s="240"/>
      <c r="F12" s="240"/>
      <c r="G12" s="240"/>
      <c r="H12" s="240" t="s">
        <v>312</v>
      </c>
      <c r="I12" s="240"/>
      <c r="J12" s="240"/>
    </row>
    <row r="13" spans="1:12" x14ac:dyDescent="0.25">
      <c r="B13" s="19" t="s">
        <v>313</v>
      </c>
      <c r="C13" s="32" t="s">
        <v>311</v>
      </c>
      <c r="D13" s="60">
        <v>20</v>
      </c>
      <c r="E13" s="240"/>
      <c r="F13" s="240"/>
      <c r="G13" s="240"/>
      <c r="H13" s="240" t="s">
        <v>314</v>
      </c>
      <c r="I13" s="240"/>
      <c r="J13" s="240"/>
    </row>
    <row r="14" spans="1:12" x14ac:dyDescent="0.25">
      <c r="B14" s="19" t="s">
        <v>315</v>
      </c>
      <c r="C14" s="32" t="s">
        <v>316</v>
      </c>
      <c r="D14" s="68">
        <v>600</v>
      </c>
      <c r="E14" s="240" t="s">
        <v>317</v>
      </c>
      <c r="F14" s="240"/>
      <c r="G14" s="240"/>
      <c r="H14" s="240"/>
      <c r="I14" s="240"/>
      <c r="J14" s="240"/>
    </row>
    <row r="15" spans="1:12" x14ac:dyDescent="0.25">
      <c r="B15" s="54"/>
      <c r="D15" s="61"/>
      <c r="E15" s="57"/>
      <c r="F15" s="57"/>
      <c r="G15" s="57"/>
      <c r="H15" s="57"/>
      <c r="I15" s="57"/>
      <c r="J15" s="57"/>
    </row>
    <row r="16" spans="1:12" x14ac:dyDescent="0.25">
      <c r="B16" s="18" t="s">
        <v>318</v>
      </c>
      <c r="C16" s="31" t="s">
        <v>80</v>
      </c>
      <c r="D16" s="31" t="s">
        <v>307</v>
      </c>
      <c r="E16" s="196" t="s">
        <v>3</v>
      </c>
      <c r="F16" s="196"/>
      <c r="G16" s="196"/>
      <c r="H16" s="196" t="s">
        <v>83</v>
      </c>
      <c r="I16" s="196"/>
      <c r="J16" s="196"/>
    </row>
    <row r="17" spans="1:13" ht="57.6" customHeight="1" x14ac:dyDescent="0.25">
      <c r="B17" s="66" t="s">
        <v>319</v>
      </c>
      <c r="C17" s="32" t="s">
        <v>85</v>
      </c>
      <c r="D17" s="60">
        <v>1000</v>
      </c>
      <c r="E17" s="240" t="s">
        <v>320</v>
      </c>
      <c r="F17" s="240"/>
      <c r="G17" s="240"/>
      <c r="H17" s="240" t="s">
        <v>321</v>
      </c>
      <c r="I17" s="240"/>
      <c r="J17" s="240"/>
    </row>
    <row r="18" spans="1:13" ht="57.6" customHeight="1" x14ac:dyDescent="0.25">
      <c r="B18" s="19" t="s">
        <v>322</v>
      </c>
      <c r="C18" s="32" t="s">
        <v>85</v>
      </c>
      <c r="D18" s="60">
        <v>25000</v>
      </c>
      <c r="E18" s="240" t="s">
        <v>323</v>
      </c>
      <c r="F18" s="240"/>
      <c r="G18" s="240"/>
      <c r="H18" s="240" t="s">
        <v>324</v>
      </c>
      <c r="I18" s="240"/>
      <c r="J18" s="240"/>
    </row>
    <row r="19" spans="1:13" x14ac:dyDescent="0.25">
      <c r="B19" s="54"/>
      <c r="D19" s="61"/>
      <c r="E19" s="57"/>
      <c r="F19" s="57"/>
      <c r="G19" s="57"/>
      <c r="H19" s="57"/>
      <c r="I19" s="57"/>
      <c r="J19" s="57"/>
    </row>
    <row r="20" spans="1:13" x14ac:dyDescent="0.25">
      <c r="B20" s="31" t="s">
        <v>325</v>
      </c>
      <c r="C20" s="31" t="s">
        <v>80</v>
      </c>
      <c r="D20" s="31" t="s">
        <v>307</v>
      </c>
      <c r="E20" s="196" t="s">
        <v>3</v>
      </c>
      <c r="F20" s="196"/>
      <c r="G20" s="196"/>
      <c r="H20" s="196" t="s">
        <v>83</v>
      </c>
      <c r="I20" s="196"/>
      <c r="J20" s="196"/>
    </row>
    <row r="21" spans="1:13" ht="28.9" customHeight="1" x14ac:dyDescent="0.25">
      <c r="B21" s="19" t="s">
        <v>326</v>
      </c>
      <c r="C21" s="32" t="s">
        <v>85</v>
      </c>
      <c r="D21" s="68">
        <v>250</v>
      </c>
      <c r="E21" s="240" t="s">
        <v>327</v>
      </c>
      <c r="F21" s="240"/>
      <c r="G21" s="240"/>
      <c r="H21" s="240"/>
      <c r="I21" s="240"/>
      <c r="J21" s="240"/>
    </row>
    <row r="22" spans="1:13" ht="14.45" customHeight="1" x14ac:dyDescent="0.25">
      <c r="B22" s="54"/>
      <c r="D22" s="61"/>
      <c r="E22" s="57"/>
      <c r="F22" s="57"/>
      <c r="G22" s="57"/>
      <c r="H22" s="57"/>
      <c r="I22" s="57"/>
      <c r="J22" s="57"/>
    </row>
    <row r="23" spans="1:13" ht="14.45" customHeight="1" x14ac:dyDescent="0.25">
      <c r="B23" s="18" t="s">
        <v>328</v>
      </c>
      <c r="C23" s="31" t="s">
        <v>80</v>
      </c>
      <c r="D23" s="31" t="s">
        <v>307</v>
      </c>
      <c r="E23" s="196" t="s">
        <v>3</v>
      </c>
      <c r="F23" s="196"/>
      <c r="G23" s="196"/>
      <c r="H23" s="196" t="s">
        <v>83</v>
      </c>
      <c r="I23" s="196"/>
      <c r="J23" s="196"/>
    </row>
    <row r="24" spans="1:13" ht="14.45" customHeight="1" x14ac:dyDescent="0.25">
      <c r="B24" s="19" t="s">
        <v>329</v>
      </c>
      <c r="C24" s="32" t="s">
        <v>243</v>
      </c>
      <c r="D24" s="74">
        <v>0.02</v>
      </c>
      <c r="E24" s="240" t="s">
        <v>330</v>
      </c>
      <c r="F24" s="240"/>
      <c r="G24" s="240"/>
      <c r="H24" s="240" t="s">
        <v>331</v>
      </c>
      <c r="I24" s="240"/>
      <c r="J24" s="240"/>
    </row>
    <row r="26" spans="1:13" s="8" customFormat="1" ht="15.75" outlineLevel="1" thickBot="1" x14ac:dyDescent="0.3">
      <c r="A26" s="8" t="s">
        <v>332</v>
      </c>
    </row>
    <row r="27" spans="1:13" x14ac:dyDescent="0.25">
      <c r="B27" s="54"/>
      <c r="D27" s="59"/>
    </row>
    <row r="28" spans="1:13" ht="54" x14ac:dyDescent="0.25">
      <c r="B28" s="54"/>
      <c r="D28" s="59"/>
      <c r="G28" s="108" t="s">
        <v>333</v>
      </c>
    </row>
    <row r="29" spans="1:13" ht="15.75" thickBot="1" x14ac:dyDescent="0.3"/>
    <row r="30" spans="1:13" ht="30.75" thickTop="1" x14ac:dyDescent="0.25">
      <c r="B30" s="63"/>
      <c r="C30" s="63" t="s">
        <v>80</v>
      </c>
      <c r="D30" s="64" t="s">
        <v>334</v>
      </c>
      <c r="E30" s="63" t="s">
        <v>335</v>
      </c>
      <c r="F30" s="84" t="s">
        <v>336</v>
      </c>
      <c r="G30" s="88" t="s">
        <v>337</v>
      </c>
      <c r="H30" s="204" t="s">
        <v>3</v>
      </c>
      <c r="I30" s="196"/>
      <c r="J30" s="196"/>
      <c r="K30" s="196" t="s">
        <v>83</v>
      </c>
      <c r="L30" s="196"/>
      <c r="M30" s="196"/>
    </row>
    <row r="31" spans="1:13" x14ac:dyDescent="0.25">
      <c r="B31" s="19" t="s">
        <v>338</v>
      </c>
      <c r="C31" s="32" t="s">
        <v>339</v>
      </c>
      <c r="D31" s="75">
        <v>0</v>
      </c>
      <c r="E31" s="75">
        <v>0.5</v>
      </c>
      <c r="F31" s="85">
        <v>2</v>
      </c>
      <c r="G31" s="89">
        <v>5</v>
      </c>
      <c r="H31" s="226"/>
      <c r="I31" s="240"/>
      <c r="J31" s="240"/>
      <c r="K31" s="240"/>
      <c r="L31" s="240"/>
      <c r="M31" s="240"/>
    </row>
    <row r="32" spans="1:13" ht="28.9" customHeight="1" x14ac:dyDescent="0.25">
      <c r="B32" s="19" t="s">
        <v>340</v>
      </c>
      <c r="C32" s="32" t="s">
        <v>85</v>
      </c>
      <c r="D32" s="17">
        <f>$D$11-D31/$D$13*$D$11</f>
        <v>80000</v>
      </c>
      <c r="E32" s="17">
        <f>$D$11-E31/$D$13*$D$11</f>
        <v>78000</v>
      </c>
      <c r="F32" s="86">
        <f>$D$11-F31/$D$13*$D$11</f>
        <v>72000</v>
      </c>
      <c r="G32" s="90">
        <f>$D$11-G31/$D$13*$D$11</f>
        <v>60000</v>
      </c>
      <c r="H32" s="226" t="s">
        <v>341</v>
      </c>
      <c r="I32" s="240"/>
      <c r="J32" s="240"/>
      <c r="K32" s="240"/>
      <c r="L32" s="240"/>
      <c r="M32" s="240"/>
    </row>
    <row r="33" spans="1:13" ht="28.9" customHeight="1" x14ac:dyDescent="0.25">
      <c r="B33" s="19" t="s">
        <v>342</v>
      </c>
      <c r="C33" s="32" t="s">
        <v>343</v>
      </c>
      <c r="D33" s="75">
        <v>600</v>
      </c>
      <c r="E33" s="75">
        <v>550</v>
      </c>
      <c r="F33" s="85">
        <v>500</v>
      </c>
      <c r="G33" s="89">
        <v>300</v>
      </c>
      <c r="H33" s="226" t="s">
        <v>344</v>
      </c>
      <c r="I33" s="240"/>
      <c r="J33" s="240"/>
      <c r="K33" s="240" t="s">
        <v>345</v>
      </c>
      <c r="L33" s="240"/>
      <c r="M33" s="240"/>
    </row>
    <row r="34" spans="1:13" ht="28.9" customHeight="1" x14ac:dyDescent="0.25">
      <c r="B34" s="19" t="s">
        <v>346</v>
      </c>
      <c r="C34" s="32" t="s">
        <v>243</v>
      </c>
      <c r="D34" s="76">
        <f>D33/$D$14</f>
        <v>1</v>
      </c>
      <c r="E34" s="76">
        <f>E33/$D$14</f>
        <v>0.91666666666666663</v>
      </c>
      <c r="F34" s="87">
        <f>F33/$D$14</f>
        <v>0.83333333333333337</v>
      </c>
      <c r="G34" s="91">
        <f>G33/$D$14</f>
        <v>0.5</v>
      </c>
      <c r="H34" s="226" t="s">
        <v>347</v>
      </c>
      <c r="I34" s="240"/>
      <c r="J34" s="240"/>
      <c r="K34" s="240"/>
      <c r="L34" s="240"/>
      <c r="M34" s="240"/>
    </row>
    <row r="35" spans="1:13" x14ac:dyDescent="0.25">
      <c r="B35" s="19" t="s">
        <v>348</v>
      </c>
      <c r="C35" s="32" t="s">
        <v>168</v>
      </c>
      <c r="D35" s="75">
        <v>4</v>
      </c>
      <c r="E35" s="75">
        <v>4</v>
      </c>
      <c r="F35" s="85">
        <v>4</v>
      </c>
      <c r="G35" s="89">
        <v>4</v>
      </c>
      <c r="H35" s="226"/>
      <c r="I35" s="240"/>
      <c r="J35" s="240"/>
      <c r="K35" s="240" t="s">
        <v>349</v>
      </c>
      <c r="L35" s="240"/>
      <c r="M35" s="240"/>
    </row>
    <row r="36" spans="1:13" x14ac:dyDescent="0.25">
      <c r="B36" s="19" t="s">
        <v>350</v>
      </c>
      <c r="C36" s="32" t="s">
        <v>243</v>
      </c>
      <c r="D36" s="76">
        <f>D35/SUM($D$35:D35)</f>
        <v>1</v>
      </c>
      <c r="E36" s="76">
        <f>E35/SUM($D$35:E35)</f>
        <v>0.5</v>
      </c>
      <c r="F36" s="87">
        <f>F35/SUM($D$35:F35)</f>
        <v>0.33333333333333331</v>
      </c>
      <c r="G36" s="91">
        <f>G35/SUM($D$35:G35)</f>
        <v>0.25</v>
      </c>
      <c r="H36" s="226" t="s">
        <v>351</v>
      </c>
      <c r="I36" s="240"/>
      <c r="J36" s="240"/>
      <c r="K36" s="240"/>
      <c r="L36" s="240"/>
      <c r="M36" s="240"/>
    </row>
    <row r="37" spans="1:13" ht="43.15" customHeight="1" x14ac:dyDescent="0.25">
      <c r="B37" s="19" t="s">
        <v>352</v>
      </c>
      <c r="C37" s="32" t="s">
        <v>85</v>
      </c>
      <c r="D37" s="17">
        <f>D32*D34*D36</f>
        <v>80000</v>
      </c>
      <c r="E37" s="17">
        <f>E32*E34*E36</f>
        <v>35750</v>
      </c>
      <c r="F37" s="86">
        <f>F32*F34*F36</f>
        <v>20000</v>
      </c>
      <c r="G37" s="90">
        <f>G32*G34*G36</f>
        <v>7500</v>
      </c>
      <c r="H37" s="226" t="s">
        <v>353</v>
      </c>
      <c r="I37" s="240"/>
      <c r="J37" s="240"/>
      <c r="K37" s="240" t="s">
        <v>354</v>
      </c>
      <c r="L37" s="240"/>
      <c r="M37" s="240"/>
    </row>
    <row r="38" spans="1:13" ht="14.45" customHeight="1" x14ac:dyDescent="0.25">
      <c r="B38" s="54"/>
      <c r="D38" s="61"/>
      <c r="E38" s="61"/>
      <c r="F38" s="61"/>
      <c r="G38" s="94"/>
      <c r="H38" s="57"/>
      <c r="I38" s="57"/>
      <c r="J38" s="57"/>
      <c r="K38" s="57"/>
      <c r="L38" s="57"/>
      <c r="M38" s="57"/>
    </row>
    <row r="39" spans="1:13" ht="14.45" customHeight="1" x14ac:dyDescent="0.25">
      <c r="B39" s="54"/>
      <c r="C39" s="63" t="s">
        <v>80</v>
      </c>
      <c r="D39" s="64" t="s">
        <v>334</v>
      </c>
      <c r="E39" s="63" t="s">
        <v>335</v>
      </c>
      <c r="F39" s="84" t="s">
        <v>336</v>
      </c>
      <c r="G39" s="95" t="s">
        <v>337</v>
      </c>
      <c r="H39" s="204" t="s">
        <v>3</v>
      </c>
      <c r="I39" s="196"/>
      <c r="J39" s="196"/>
      <c r="K39" s="196" t="s">
        <v>83</v>
      </c>
      <c r="L39" s="196"/>
      <c r="M39" s="196"/>
    </row>
    <row r="40" spans="1:13" ht="28.9" customHeight="1" x14ac:dyDescent="0.25">
      <c r="B40" s="66" t="s">
        <v>355</v>
      </c>
      <c r="C40" s="32" t="s">
        <v>85</v>
      </c>
      <c r="D40" s="17">
        <f>($D17+$D21)*(1+$D$24)^D$31</f>
        <v>1250</v>
      </c>
      <c r="E40" s="17">
        <f>($D17+$D21)*(1+$D$24)^E$31</f>
        <v>1262.4381172952599</v>
      </c>
      <c r="F40" s="86">
        <f>($D17+$D21)*(1+$D$24)^F$31</f>
        <v>1300.5</v>
      </c>
      <c r="G40" s="90">
        <f>($D17+$D21)*(1+$D$24)^G$31</f>
        <v>1380.1010040000001</v>
      </c>
      <c r="H40" s="226" t="s">
        <v>356</v>
      </c>
      <c r="I40" s="240"/>
      <c r="J40" s="240"/>
      <c r="K40" s="240"/>
      <c r="L40" s="240"/>
      <c r="M40" s="240"/>
    </row>
    <row r="41" spans="1:13" ht="43.15" customHeight="1" x14ac:dyDescent="0.25">
      <c r="B41" s="241" t="s">
        <v>357</v>
      </c>
      <c r="C41" s="242"/>
      <c r="D41" s="67" t="str">
        <f>IF(D37&gt;D40,"Yes","No")</f>
        <v>Yes</v>
      </c>
      <c r="E41" s="67" t="str">
        <f t="shared" ref="E41:G41" si="0">IF(E37&gt;E40,"Yes","No")</f>
        <v>Yes</v>
      </c>
      <c r="F41" s="93" t="str">
        <f t="shared" si="0"/>
        <v>Yes</v>
      </c>
      <c r="G41" s="96" t="str">
        <f t="shared" si="0"/>
        <v>Yes</v>
      </c>
      <c r="H41" s="226"/>
      <c r="I41" s="240"/>
      <c r="J41" s="240"/>
      <c r="K41" s="240" t="s">
        <v>358</v>
      </c>
      <c r="L41" s="240"/>
      <c r="M41" s="240"/>
    </row>
    <row r="42" spans="1:13" ht="14.45" customHeight="1" x14ac:dyDescent="0.25">
      <c r="B42" s="54"/>
      <c r="C42" s="54"/>
      <c r="D42" s="65"/>
      <c r="E42" s="65"/>
      <c r="F42" s="65"/>
      <c r="G42" s="97"/>
      <c r="H42" s="57"/>
      <c r="I42" s="57"/>
      <c r="J42" s="57"/>
      <c r="K42" s="57"/>
      <c r="L42" s="57"/>
      <c r="M42" s="57"/>
    </row>
    <row r="43" spans="1:13" ht="14.45" customHeight="1" x14ac:dyDescent="0.25">
      <c r="B43" s="54"/>
      <c r="C43" s="63" t="s">
        <v>80</v>
      </c>
      <c r="D43" s="64" t="s">
        <v>334</v>
      </c>
      <c r="E43" s="63" t="s">
        <v>335</v>
      </c>
      <c r="F43" s="84" t="s">
        <v>336</v>
      </c>
      <c r="G43" s="95" t="s">
        <v>337</v>
      </c>
      <c r="H43" s="204" t="s">
        <v>3</v>
      </c>
      <c r="I43" s="196"/>
      <c r="J43" s="196"/>
      <c r="K43" s="196" t="s">
        <v>83</v>
      </c>
      <c r="L43" s="196"/>
      <c r="M43" s="196"/>
    </row>
    <row r="44" spans="1:13" ht="14.45" customHeight="1" x14ac:dyDescent="0.25">
      <c r="B44" s="19" t="s">
        <v>322</v>
      </c>
      <c r="C44" s="32" t="s">
        <v>85</v>
      </c>
      <c r="D44" s="17">
        <f>$D18*(1+$D$24)^D$31</f>
        <v>25000</v>
      </c>
      <c r="E44" s="17">
        <f>$D18*(1+$D$24)^E$31</f>
        <v>25248.762345905197</v>
      </c>
      <c r="F44" s="86">
        <f>$D18*(1+$D$24)^F$31</f>
        <v>26010</v>
      </c>
      <c r="G44" s="90">
        <f>$D18*(1+$D$24)^G$31</f>
        <v>27602.020080000002</v>
      </c>
      <c r="H44" s="226" t="s">
        <v>359</v>
      </c>
      <c r="I44" s="240"/>
      <c r="J44" s="240"/>
      <c r="K44" s="240"/>
      <c r="L44" s="240"/>
      <c r="M44" s="240"/>
    </row>
    <row r="45" spans="1:13" ht="43.15" customHeight="1" thickBot="1" x14ac:dyDescent="0.3">
      <c r="B45" s="241" t="s">
        <v>360</v>
      </c>
      <c r="C45" s="242"/>
      <c r="D45" s="67" t="str">
        <f>IF(D37&gt;D44,"Yes","No")</f>
        <v>Yes</v>
      </c>
      <c r="E45" s="67" t="str">
        <f t="shared" ref="E45:G45" si="1">IF(E37&gt;E44,"Yes","No")</f>
        <v>Yes</v>
      </c>
      <c r="F45" s="93" t="str">
        <f t="shared" si="1"/>
        <v>No</v>
      </c>
      <c r="G45" s="98" t="str">
        <f t="shared" si="1"/>
        <v>No</v>
      </c>
      <c r="H45" s="226"/>
      <c r="I45" s="240"/>
      <c r="J45" s="240"/>
      <c r="K45" s="240" t="s">
        <v>361</v>
      </c>
      <c r="L45" s="240"/>
      <c r="M45" s="240"/>
    </row>
    <row r="46" spans="1:13" ht="14.45" customHeight="1" thickTop="1" x14ac:dyDescent="0.25">
      <c r="B46" s="54"/>
      <c r="D46" s="61"/>
      <c r="E46" s="61"/>
      <c r="F46" s="61"/>
      <c r="G46" s="61"/>
      <c r="H46" s="57"/>
      <c r="I46" s="57"/>
      <c r="J46" s="57"/>
      <c r="K46" s="57"/>
      <c r="L46" s="57"/>
      <c r="M46" s="57"/>
    </row>
    <row r="47" spans="1:13" s="8" customFormat="1" ht="15.75" outlineLevel="1" thickBot="1" x14ac:dyDescent="0.3">
      <c r="A47" s="8" t="s">
        <v>362</v>
      </c>
    </row>
    <row r="48" spans="1:13" x14ac:dyDescent="0.25">
      <c r="B48" s="54"/>
    </row>
    <row r="49" spans="2:14" ht="15.75" thickBot="1" x14ac:dyDescent="0.3">
      <c r="B49" s="54"/>
    </row>
    <row r="50" spans="2:14" ht="30.75" thickTop="1" x14ac:dyDescent="0.25">
      <c r="B50" s="18" t="s">
        <v>363</v>
      </c>
      <c r="C50" s="31" t="s">
        <v>80</v>
      </c>
      <c r="D50" s="7" t="s">
        <v>334</v>
      </c>
      <c r="E50" s="31" t="s">
        <v>335</v>
      </c>
      <c r="F50" s="62" t="s">
        <v>336</v>
      </c>
      <c r="G50" s="105" t="s">
        <v>337</v>
      </c>
      <c r="H50" s="101" t="s">
        <v>364</v>
      </c>
      <c r="I50" s="196" t="s">
        <v>3</v>
      </c>
      <c r="J50" s="196"/>
      <c r="K50" s="196"/>
      <c r="L50" s="196" t="s">
        <v>83</v>
      </c>
      <c r="M50" s="196"/>
      <c r="N50" s="196"/>
    </row>
    <row r="51" spans="2:14" ht="14.45" customHeight="1" x14ac:dyDescent="0.25">
      <c r="B51" s="19" t="s">
        <v>365</v>
      </c>
      <c r="C51" s="32" t="s">
        <v>85</v>
      </c>
      <c r="D51" s="15">
        <f>D37</f>
        <v>80000</v>
      </c>
      <c r="E51" s="60"/>
      <c r="F51" s="99"/>
      <c r="G51" s="106"/>
      <c r="H51" s="102">
        <f>SUM(D51:G51)</f>
        <v>80000</v>
      </c>
      <c r="I51" s="240" t="s">
        <v>366</v>
      </c>
      <c r="J51" s="240"/>
      <c r="K51" s="240"/>
      <c r="L51" s="240"/>
      <c r="M51" s="240"/>
      <c r="N51" s="240"/>
    </row>
    <row r="52" spans="2:14" x14ac:dyDescent="0.25">
      <c r="B52" s="54"/>
      <c r="D52" s="61"/>
      <c r="E52" s="61"/>
      <c r="F52" s="61"/>
      <c r="G52" s="94"/>
      <c r="H52" s="61"/>
      <c r="I52" s="219"/>
      <c r="J52" s="219"/>
      <c r="K52" s="219"/>
      <c r="L52" s="219"/>
      <c r="M52" s="219"/>
      <c r="N52" s="219"/>
    </row>
    <row r="53" spans="2:14" ht="30" x14ac:dyDescent="0.25">
      <c r="B53" s="18" t="s">
        <v>367</v>
      </c>
      <c r="C53" s="31" t="s">
        <v>80</v>
      </c>
      <c r="D53" s="77" t="s">
        <v>334</v>
      </c>
      <c r="E53" s="78" t="s">
        <v>335</v>
      </c>
      <c r="F53" s="100" t="s">
        <v>336</v>
      </c>
      <c r="G53" s="107" t="s">
        <v>337</v>
      </c>
      <c r="H53" s="103" t="s">
        <v>364</v>
      </c>
      <c r="I53" s="196" t="s">
        <v>3</v>
      </c>
      <c r="J53" s="196"/>
      <c r="K53" s="196"/>
      <c r="L53" s="196" t="s">
        <v>83</v>
      </c>
      <c r="M53" s="196"/>
      <c r="N53" s="196"/>
    </row>
    <row r="54" spans="2:14" ht="14.45" customHeight="1" x14ac:dyDescent="0.25">
      <c r="B54" s="19" t="s">
        <v>368</v>
      </c>
      <c r="C54" s="32" t="s">
        <v>85</v>
      </c>
      <c r="D54" s="60"/>
      <c r="E54" s="17">
        <f>IF(E$41="Yes",E$37,0)</f>
        <v>35750</v>
      </c>
      <c r="F54" s="99"/>
      <c r="G54" s="106"/>
      <c r="H54" s="104"/>
      <c r="I54" s="240" t="s">
        <v>369</v>
      </c>
      <c r="J54" s="240"/>
      <c r="K54" s="240"/>
      <c r="L54" s="240"/>
      <c r="M54" s="240"/>
      <c r="N54" s="240"/>
    </row>
    <row r="55" spans="2:14" ht="14.45" customHeight="1" x14ac:dyDescent="0.25">
      <c r="B55" s="19" t="s">
        <v>370</v>
      </c>
      <c r="C55" s="32" t="s">
        <v>85</v>
      </c>
      <c r="D55" s="17">
        <f>-E54+D21</f>
        <v>-35500</v>
      </c>
      <c r="E55" s="60"/>
      <c r="F55" s="99"/>
      <c r="G55" s="106"/>
      <c r="H55" s="104"/>
      <c r="I55" s="240" t="s">
        <v>371</v>
      </c>
      <c r="J55" s="240"/>
      <c r="K55" s="240"/>
      <c r="L55" s="240"/>
      <c r="M55" s="240"/>
      <c r="N55" s="240"/>
    </row>
    <row r="56" spans="2:14" ht="14.45" customHeight="1" x14ac:dyDescent="0.25">
      <c r="B56" s="19" t="s">
        <v>372</v>
      </c>
      <c r="C56" s="32" t="s">
        <v>85</v>
      </c>
      <c r="D56" s="17">
        <f>D51+D55</f>
        <v>44500</v>
      </c>
      <c r="E56" s="17">
        <f>IF(E$45="Yes",E54,0)</f>
        <v>35750</v>
      </c>
      <c r="F56" s="99"/>
      <c r="G56" s="106"/>
      <c r="H56" s="102">
        <f>SUM(D56:G56)</f>
        <v>80250</v>
      </c>
      <c r="I56" s="240" t="s">
        <v>373</v>
      </c>
      <c r="J56" s="240"/>
      <c r="K56" s="240"/>
      <c r="L56" s="240"/>
      <c r="M56" s="240"/>
      <c r="N56" s="240"/>
    </row>
    <row r="57" spans="2:14" ht="14.45" customHeight="1" x14ac:dyDescent="0.25">
      <c r="B57" s="54"/>
      <c r="D57" s="61"/>
      <c r="E57" s="61"/>
      <c r="F57" s="61"/>
      <c r="G57" s="94"/>
      <c r="H57" s="61"/>
      <c r="I57" s="57"/>
      <c r="J57" s="57"/>
      <c r="K57" s="57"/>
      <c r="L57" s="57"/>
      <c r="M57" s="57"/>
      <c r="N57" s="57"/>
    </row>
    <row r="58" spans="2:14" ht="30" x14ac:dyDescent="0.25">
      <c r="B58" s="18" t="s">
        <v>374</v>
      </c>
      <c r="C58" s="31" t="s">
        <v>80</v>
      </c>
      <c r="D58" s="77" t="s">
        <v>334</v>
      </c>
      <c r="E58" s="78" t="s">
        <v>335</v>
      </c>
      <c r="F58" s="100" t="s">
        <v>336</v>
      </c>
      <c r="G58" s="107" t="s">
        <v>337</v>
      </c>
      <c r="H58" s="103" t="s">
        <v>364</v>
      </c>
      <c r="I58" s="196" t="s">
        <v>3</v>
      </c>
      <c r="J58" s="196"/>
      <c r="K58" s="196"/>
      <c r="L58" s="196" t="s">
        <v>83</v>
      </c>
      <c r="M58" s="196"/>
      <c r="N58" s="196"/>
    </row>
    <row r="59" spans="2:14" x14ac:dyDescent="0.25">
      <c r="B59" s="19" t="s">
        <v>375</v>
      </c>
      <c r="C59" s="32" t="s">
        <v>85</v>
      </c>
      <c r="D59" s="60"/>
      <c r="E59" s="60"/>
      <c r="F59" s="86">
        <f>IF(F$41="Yes",F$37,0)</f>
        <v>20000</v>
      </c>
      <c r="G59" s="106"/>
      <c r="H59" s="104"/>
      <c r="I59" s="240" t="s">
        <v>376</v>
      </c>
      <c r="J59" s="240"/>
      <c r="K59" s="240"/>
      <c r="L59" s="240"/>
      <c r="M59" s="240"/>
      <c r="N59" s="240"/>
    </row>
    <row r="60" spans="2:14" ht="43.15" customHeight="1" x14ac:dyDescent="0.25">
      <c r="B60" s="19" t="s">
        <v>370</v>
      </c>
      <c r="C60" s="32" t="s">
        <v>85</v>
      </c>
      <c r="D60" s="17">
        <f>-($F59-$D$21)*(D56/$H56)</f>
        <v>-10951.713395638628</v>
      </c>
      <c r="E60" s="17">
        <f>-($F59-$D$21)*(E56/$H56)</f>
        <v>-8798.2866043613703</v>
      </c>
      <c r="F60" s="99"/>
      <c r="G60" s="106"/>
      <c r="H60" s="104"/>
      <c r="I60" s="240" t="s">
        <v>377</v>
      </c>
      <c r="J60" s="240"/>
      <c r="K60" s="240"/>
      <c r="L60" s="240"/>
      <c r="M60" s="240"/>
      <c r="N60" s="240"/>
    </row>
    <row r="61" spans="2:14" x14ac:dyDescent="0.25">
      <c r="B61" s="19" t="s">
        <v>372</v>
      </c>
      <c r="C61" s="32" t="s">
        <v>85</v>
      </c>
      <c r="D61" s="17">
        <f>D56+D60</f>
        <v>33548.286604361376</v>
      </c>
      <c r="E61" s="17">
        <f>IF(E$45="Yes",E56+E60,0)</f>
        <v>26951.713395638631</v>
      </c>
      <c r="F61" s="86">
        <f>IF(F$45="Yes",F59,0)</f>
        <v>0</v>
      </c>
      <c r="G61" s="106"/>
      <c r="H61" s="102">
        <f>SUM(D61:G61)</f>
        <v>60500.000000000007</v>
      </c>
      <c r="I61" s="240" t="s">
        <v>373</v>
      </c>
      <c r="J61" s="240"/>
      <c r="K61" s="240"/>
      <c r="L61" s="240" t="s">
        <v>378</v>
      </c>
      <c r="M61" s="240"/>
      <c r="N61" s="240"/>
    </row>
    <row r="62" spans="2:14" x14ac:dyDescent="0.25">
      <c r="B62" s="54"/>
      <c r="D62" s="61"/>
      <c r="E62" s="61"/>
      <c r="F62" s="61"/>
      <c r="G62" s="94"/>
      <c r="H62" s="61"/>
      <c r="I62" s="57"/>
      <c r="J62" s="57"/>
      <c r="K62" s="57"/>
      <c r="L62" s="57"/>
      <c r="M62" s="57"/>
      <c r="N62" s="57"/>
    </row>
    <row r="63" spans="2:14" ht="30" x14ac:dyDescent="0.25">
      <c r="B63" s="18" t="s">
        <v>379</v>
      </c>
      <c r="C63" s="31" t="s">
        <v>80</v>
      </c>
      <c r="D63" s="77" t="s">
        <v>334</v>
      </c>
      <c r="E63" s="78" t="s">
        <v>335</v>
      </c>
      <c r="F63" s="100" t="s">
        <v>336</v>
      </c>
      <c r="G63" s="107" t="s">
        <v>337</v>
      </c>
      <c r="H63" s="103" t="s">
        <v>364</v>
      </c>
      <c r="I63" s="196" t="s">
        <v>3</v>
      </c>
      <c r="J63" s="196"/>
      <c r="K63" s="196"/>
      <c r="L63" s="196" t="s">
        <v>83</v>
      </c>
      <c r="M63" s="196"/>
      <c r="N63" s="196"/>
    </row>
    <row r="64" spans="2:14" x14ac:dyDescent="0.25">
      <c r="B64" s="19" t="s">
        <v>380</v>
      </c>
      <c r="C64" s="32" t="s">
        <v>85</v>
      </c>
      <c r="D64" s="60"/>
      <c r="E64" s="60"/>
      <c r="F64" s="99"/>
      <c r="G64" s="90">
        <f>IF(G$41="Yes",G$37,0)</f>
        <v>7500</v>
      </c>
      <c r="H64" s="104"/>
      <c r="I64" s="240" t="s">
        <v>381</v>
      </c>
      <c r="J64" s="240"/>
      <c r="K64" s="240"/>
      <c r="L64" s="240"/>
      <c r="M64" s="240"/>
      <c r="N64" s="240"/>
    </row>
    <row r="65" spans="2:14" ht="43.15" customHeight="1" x14ac:dyDescent="0.25">
      <c r="B65" s="19" t="s">
        <v>370</v>
      </c>
      <c r="C65" s="32" t="s">
        <v>85</v>
      </c>
      <c r="D65" s="17">
        <f>-($G64-$D$21)*(D61/$H61)</f>
        <v>-4020.2492211838012</v>
      </c>
      <c r="E65" s="17">
        <f>-($G64-$D$21)*(E61/$H61)</f>
        <v>-3229.7507788161993</v>
      </c>
      <c r="F65" s="86">
        <f>-($F64-$D$21)*(F61/$H61)</f>
        <v>0</v>
      </c>
      <c r="G65" s="106"/>
      <c r="H65" s="104"/>
      <c r="I65" s="240" t="s">
        <v>382</v>
      </c>
      <c r="J65" s="240"/>
      <c r="K65" s="240"/>
      <c r="L65" s="240"/>
      <c r="M65" s="240"/>
      <c r="N65" s="240"/>
    </row>
    <row r="66" spans="2:14" x14ac:dyDescent="0.25">
      <c r="B66" s="19" t="s">
        <v>372</v>
      </c>
      <c r="C66" s="32" t="s">
        <v>85</v>
      </c>
      <c r="D66" s="17">
        <f>D61+D65</f>
        <v>29528.037383177576</v>
      </c>
      <c r="E66" s="17">
        <f>IF(E$45="Yes",E61+E65,0)</f>
        <v>23721.962616822431</v>
      </c>
      <c r="F66" s="86">
        <f t="shared" ref="F66:G66" si="2">IF(F$45="Yes",F61+F65,0)</f>
        <v>0</v>
      </c>
      <c r="G66" s="90">
        <f t="shared" si="2"/>
        <v>0</v>
      </c>
      <c r="H66" s="102">
        <f>SUM(D66:G66)</f>
        <v>53250.000000000007</v>
      </c>
      <c r="I66" s="240" t="s">
        <v>373</v>
      </c>
      <c r="J66" s="240"/>
      <c r="K66" s="240"/>
      <c r="L66" s="240" t="s">
        <v>383</v>
      </c>
      <c r="M66" s="240"/>
      <c r="N66" s="240"/>
    </row>
    <row r="67" spans="2:14" ht="15.75" thickBot="1" x14ac:dyDescent="0.3">
      <c r="B67" s="19" t="s">
        <v>384</v>
      </c>
      <c r="C67" s="32" t="s">
        <v>243</v>
      </c>
      <c r="D67" s="127">
        <f>D66/$H66</f>
        <v>0.55451713395638635</v>
      </c>
      <c r="E67" s="127">
        <f t="shared" ref="E67" si="3">E66/$H66</f>
        <v>0.44548286604361365</v>
      </c>
      <c r="F67" s="87"/>
      <c r="G67" s="126"/>
      <c r="H67" s="104"/>
      <c r="I67" s="240"/>
      <c r="J67" s="240"/>
      <c r="K67" s="240"/>
      <c r="L67" s="240"/>
      <c r="M67" s="240"/>
      <c r="N67" s="240"/>
    </row>
    <row r="68" spans="2:14" ht="15.75" thickTop="1" x14ac:dyDescent="0.25">
      <c r="B68" s="54"/>
      <c r="D68" s="69"/>
      <c r="E68" s="69"/>
      <c r="F68" s="69"/>
      <c r="G68" s="69"/>
      <c r="H68" s="57"/>
      <c r="I68" s="57"/>
      <c r="J68" s="57"/>
      <c r="K68" s="57"/>
      <c r="L68" s="57"/>
      <c r="M68" s="57"/>
    </row>
    <row r="69" spans="2:14" x14ac:dyDescent="0.25">
      <c r="B69" s="54"/>
      <c r="D69" s="59"/>
    </row>
    <row r="70" spans="2:14" x14ac:dyDescent="0.25">
      <c r="B70" s="54"/>
      <c r="D70" s="59"/>
    </row>
    <row r="71" spans="2:14" x14ac:dyDescent="0.25">
      <c r="B71" s="54"/>
      <c r="D71" s="59"/>
      <c r="E71" s="59"/>
      <c r="H71" s="59"/>
    </row>
    <row r="72" spans="2:14" x14ac:dyDescent="0.25">
      <c r="B72" s="54"/>
      <c r="D72" s="59"/>
      <c r="E72" s="59"/>
      <c r="F72" s="59"/>
      <c r="G72" s="59"/>
      <c r="H72" s="59"/>
    </row>
    <row r="73" spans="2:14" x14ac:dyDescent="0.25">
      <c r="B73" s="54"/>
    </row>
    <row r="74" spans="2:14" x14ac:dyDescent="0.25">
      <c r="B74" s="54"/>
      <c r="D74" s="59"/>
      <c r="E74" s="59"/>
      <c r="F74" s="59"/>
      <c r="H74" s="59"/>
    </row>
    <row r="75" spans="2:14" x14ac:dyDescent="0.25">
      <c r="B75" s="54"/>
      <c r="D75" s="59"/>
      <c r="E75" s="59"/>
      <c r="F75" s="59"/>
      <c r="G75" s="59"/>
      <c r="H75" s="59"/>
    </row>
    <row r="76" spans="2:14" x14ac:dyDescent="0.25">
      <c r="B76" s="54"/>
    </row>
    <row r="77" spans="2:14" x14ac:dyDescent="0.25">
      <c r="B77" s="54"/>
      <c r="D77" s="59"/>
      <c r="E77" s="59"/>
      <c r="F77" s="59"/>
      <c r="G77" s="59"/>
      <c r="H77" s="59"/>
    </row>
    <row r="78" spans="2:14" x14ac:dyDescent="0.25">
      <c r="B78" s="54"/>
      <c r="D78" s="59"/>
      <c r="E78" s="59"/>
      <c r="F78" s="59"/>
      <c r="G78" s="59"/>
      <c r="H78" s="59"/>
    </row>
    <row r="79" spans="2:14" x14ac:dyDescent="0.25">
      <c r="B79" s="70"/>
      <c r="D79" s="71"/>
      <c r="E79" s="71"/>
      <c r="F79" s="71"/>
      <c r="G79" s="71"/>
      <c r="J79" s="72"/>
    </row>
    <row r="81" spans="2:4" x14ac:dyDescent="0.25">
      <c r="C81" s="58"/>
    </row>
    <row r="86" spans="2:4" x14ac:dyDescent="0.25">
      <c r="B86" s="4"/>
      <c r="C86" s="4"/>
      <c r="D86" s="73"/>
    </row>
  </sheetData>
  <mergeCells count="87">
    <mergeCell ref="L67:N67"/>
    <mergeCell ref="I53:K53"/>
    <mergeCell ref="L53:N53"/>
    <mergeCell ref="B6:J6"/>
    <mergeCell ref="I61:K61"/>
    <mergeCell ref="I63:K63"/>
    <mergeCell ref="I64:K64"/>
    <mergeCell ref="I65:K65"/>
    <mergeCell ref="I66:K66"/>
    <mergeCell ref="I67:K67"/>
    <mergeCell ref="L63:N63"/>
    <mergeCell ref="I51:K51"/>
    <mergeCell ref="I52:K52"/>
    <mergeCell ref="I54:K54"/>
    <mergeCell ref="I55:K55"/>
    <mergeCell ref="I56:K56"/>
    <mergeCell ref="I58:K58"/>
    <mergeCell ref="I59:K59"/>
    <mergeCell ref="I60:K60"/>
    <mergeCell ref="L59:N59"/>
    <mergeCell ref="L60:N60"/>
    <mergeCell ref="L61:N61"/>
    <mergeCell ref="L64:N64"/>
    <mergeCell ref="L65:N65"/>
    <mergeCell ref="L66:N66"/>
    <mergeCell ref="L55:N55"/>
    <mergeCell ref="L56:N56"/>
    <mergeCell ref="L58:N58"/>
    <mergeCell ref="L51:N51"/>
    <mergeCell ref="L52:N52"/>
    <mergeCell ref="L54:N54"/>
    <mergeCell ref="H41:J41"/>
    <mergeCell ref="H39:J39"/>
    <mergeCell ref="K39:M39"/>
    <mergeCell ref="K43:M43"/>
    <mergeCell ref="I50:K50"/>
    <mergeCell ref="L50:N50"/>
    <mergeCell ref="H43:J43"/>
    <mergeCell ref="K40:M40"/>
    <mergeCell ref="H44:J44"/>
    <mergeCell ref="K44:M44"/>
    <mergeCell ref="B41:C41"/>
    <mergeCell ref="B45:C45"/>
    <mergeCell ref="H40:J40"/>
    <mergeCell ref="H45:J45"/>
    <mergeCell ref="K41:M41"/>
    <mergeCell ref="K45:M45"/>
    <mergeCell ref="H36:J36"/>
    <mergeCell ref="K36:M36"/>
    <mergeCell ref="H37:J37"/>
    <mergeCell ref="K37:M37"/>
    <mergeCell ref="E23:G23"/>
    <mergeCell ref="H23:J23"/>
    <mergeCell ref="E24:G24"/>
    <mergeCell ref="H24:J24"/>
    <mergeCell ref="H33:J33"/>
    <mergeCell ref="K33:M33"/>
    <mergeCell ref="H34:J34"/>
    <mergeCell ref="K34:M34"/>
    <mergeCell ref="H35:J35"/>
    <mergeCell ref="K35:M35"/>
    <mergeCell ref="H30:J30"/>
    <mergeCell ref="K30:M30"/>
    <mergeCell ref="H31:J31"/>
    <mergeCell ref="K31:M31"/>
    <mergeCell ref="H32:J32"/>
    <mergeCell ref="K32:M32"/>
    <mergeCell ref="E12:G12"/>
    <mergeCell ref="H12:J12"/>
    <mergeCell ref="E20:G20"/>
    <mergeCell ref="H20:J20"/>
    <mergeCell ref="E16:G16"/>
    <mergeCell ref="H16:J16"/>
    <mergeCell ref="E18:G18"/>
    <mergeCell ref="H18:J18"/>
    <mergeCell ref="E17:G17"/>
    <mergeCell ref="H17:J17"/>
    <mergeCell ref="E21:G21"/>
    <mergeCell ref="H21:J21"/>
    <mergeCell ref="E10:G10"/>
    <mergeCell ref="H10:J10"/>
    <mergeCell ref="E11:G11"/>
    <mergeCell ref="E13:G13"/>
    <mergeCell ref="E14:G14"/>
    <mergeCell ref="H11:J11"/>
    <mergeCell ref="H13:J13"/>
    <mergeCell ref="H14:J14"/>
  </mergeCells>
  <conditionalFormatting sqref="D41:G42">
    <cfRule type="cellIs" dxfId="3" priority="3" operator="equal">
      <formula>"No"</formula>
    </cfRule>
    <cfRule type="cellIs" dxfId="2" priority="4" operator="equal">
      <formula>"Yes"</formula>
    </cfRule>
  </conditionalFormatting>
  <conditionalFormatting sqref="D45:G45">
    <cfRule type="cellIs" dxfId="1" priority="1" operator="equal">
      <formula>"No"</formula>
    </cfRule>
    <cfRule type="cellIs" dxfId="0" priority="2" operator="equal">
      <formula>"Yes"</formula>
    </cfRule>
  </conditionalFormatting>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FDB2B8-FC73-4D77-9857-BF712C43E52E}">
  <sheetPr>
    <tabColor theme="5" tint="0.59999389629810485"/>
  </sheetPr>
  <dimension ref="A1:P36"/>
  <sheetViews>
    <sheetView workbookViewId="0">
      <pane ySplit="1" topLeftCell="A2" activePane="bottomLeft" state="frozen"/>
      <selection pane="bottomLeft" activeCell="G1" sqref="G1:L1"/>
    </sheetView>
    <sheetView workbookViewId="1"/>
  </sheetViews>
  <sheetFormatPr defaultColWidth="8.85546875" defaultRowHeight="15" outlineLevelRow="1" x14ac:dyDescent="0.25"/>
  <cols>
    <col min="1" max="1" width="8.85546875" style="2"/>
    <col min="2" max="2" width="42.28515625" style="2" customWidth="1"/>
    <col min="3" max="3" width="10.7109375" style="2" customWidth="1"/>
    <col min="4" max="16" width="18.7109375" style="2" customWidth="1"/>
    <col min="17" max="16384" width="8.85546875" style="2"/>
  </cols>
  <sheetData>
    <row r="1" spans="1:12" s="1" customFormat="1" ht="20.25" thickBot="1" x14ac:dyDescent="0.35">
      <c r="A1" s="1" t="s">
        <v>385</v>
      </c>
      <c r="G1" s="1" t="s">
        <v>58</v>
      </c>
      <c r="H1" s="153" t="s">
        <v>59</v>
      </c>
      <c r="I1" s="154" t="s">
        <v>60</v>
      </c>
      <c r="J1" s="155" t="s">
        <v>61</v>
      </c>
      <c r="K1" s="156" t="s">
        <v>62</v>
      </c>
      <c r="L1" s="157" t="s">
        <v>63</v>
      </c>
    </row>
    <row r="2" spans="1:12" ht="15.75" thickTop="1" x14ac:dyDescent="0.25"/>
    <row r="3" spans="1:12" s="151" customFormat="1" ht="18" thickBot="1" x14ac:dyDescent="0.35">
      <c r="A3" s="151" t="s">
        <v>386</v>
      </c>
    </row>
    <row r="4" spans="1:12" ht="15.75" outlineLevel="1" thickTop="1" x14ac:dyDescent="0.25">
      <c r="A4" s="3"/>
    </row>
    <row r="5" spans="1:12" outlineLevel="1" x14ac:dyDescent="0.25">
      <c r="A5" s="3"/>
      <c r="B5" s="243" t="s">
        <v>304</v>
      </c>
      <c r="C5" s="244"/>
      <c r="D5" s="244"/>
      <c r="E5" s="244"/>
      <c r="F5" s="244"/>
      <c r="G5" s="244"/>
      <c r="H5" s="244"/>
      <c r="I5" s="244"/>
      <c r="J5" s="245"/>
    </row>
    <row r="7" spans="1:12" s="8" customFormat="1" ht="15.75" outlineLevel="1" thickBot="1" x14ac:dyDescent="0.3">
      <c r="A7" s="8" t="s">
        <v>387</v>
      </c>
    </row>
    <row r="8" spans="1:12" x14ac:dyDescent="0.25">
      <c r="A8" s="53"/>
    </row>
    <row r="9" spans="1:12" ht="28.9" customHeight="1" x14ac:dyDescent="0.25">
      <c r="B9" s="7" t="s">
        <v>388</v>
      </c>
      <c r="C9" s="31" t="s">
        <v>80</v>
      </c>
      <c r="D9" s="31" t="s">
        <v>307</v>
      </c>
      <c r="E9" s="202" t="s">
        <v>3</v>
      </c>
      <c r="F9" s="203"/>
      <c r="G9" s="204"/>
      <c r="H9" s="202" t="s">
        <v>83</v>
      </c>
      <c r="I9" s="203"/>
      <c r="J9" s="204"/>
    </row>
    <row r="10" spans="1:12" x14ac:dyDescent="0.25">
      <c r="B10" s="19" t="s">
        <v>389</v>
      </c>
      <c r="C10" s="32" t="s">
        <v>85</v>
      </c>
      <c r="D10" s="68">
        <v>120000</v>
      </c>
      <c r="E10" s="224" t="s">
        <v>390</v>
      </c>
      <c r="F10" s="225"/>
      <c r="G10" s="226"/>
      <c r="H10" s="224"/>
      <c r="I10" s="225"/>
      <c r="J10" s="226"/>
    </row>
    <row r="11" spans="1:12" ht="28.9" customHeight="1" x14ac:dyDescent="0.25">
      <c r="B11" s="19" t="s">
        <v>391</v>
      </c>
      <c r="C11" s="32" t="s">
        <v>392</v>
      </c>
      <c r="D11" s="68">
        <v>6</v>
      </c>
      <c r="E11" s="224" t="s">
        <v>393</v>
      </c>
      <c r="F11" s="225"/>
      <c r="G11" s="226"/>
      <c r="H11" s="224"/>
      <c r="I11" s="225"/>
      <c r="J11" s="226"/>
    </row>
    <row r="12" spans="1:12" ht="28.9" customHeight="1" x14ac:dyDescent="0.25">
      <c r="B12" s="19" t="s">
        <v>394</v>
      </c>
      <c r="C12" s="32" t="s">
        <v>85</v>
      </c>
      <c r="D12" s="17">
        <f>D10/D11</f>
        <v>20000</v>
      </c>
      <c r="E12" s="224" t="s">
        <v>395</v>
      </c>
      <c r="F12" s="225"/>
      <c r="G12" s="226"/>
      <c r="H12" s="224"/>
      <c r="I12" s="225"/>
      <c r="J12" s="226"/>
    </row>
    <row r="14" spans="1:12" x14ac:dyDescent="0.25">
      <c r="B14" s="7" t="s">
        <v>328</v>
      </c>
      <c r="C14" s="31" t="s">
        <v>80</v>
      </c>
      <c r="D14" s="31" t="s">
        <v>307</v>
      </c>
      <c r="E14" s="202" t="s">
        <v>3</v>
      </c>
      <c r="F14" s="203"/>
      <c r="G14" s="204"/>
      <c r="H14" s="202" t="s">
        <v>83</v>
      </c>
      <c r="I14" s="203"/>
      <c r="J14" s="204"/>
    </row>
    <row r="15" spans="1:12" x14ac:dyDescent="0.25">
      <c r="B15" s="19" t="s">
        <v>329</v>
      </c>
      <c r="C15" s="32" t="s">
        <v>243</v>
      </c>
      <c r="D15" s="74">
        <v>0.02</v>
      </c>
      <c r="E15" s="240" t="s">
        <v>330</v>
      </c>
      <c r="F15" s="240"/>
      <c r="G15" s="240"/>
      <c r="H15" s="240" t="s">
        <v>331</v>
      </c>
      <c r="I15" s="240"/>
      <c r="J15" s="240"/>
    </row>
    <row r="17" spans="1:16" s="8" customFormat="1" ht="15.75" outlineLevel="1" thickBot="1" x14ac:dyDescent="0.3">
      <c r="A17" s="8" t="s">
        <v>332</v>
      </c>
    </row>
    <row r="19" spans="1:16" ht="54" x14ac:dyDescent="0.25">
      <c r="D19" s="108" t="s">
        <v>396</v>
      </c>
    </row>
    <row r="20" spans="1:16" ht="15.75" thickBot="1" x14ac:dyDescent="0.3"/>
    <row r="21" spans="1:16" ht="14.45" customHeight="1" thickTop="1" x14ac:dyDescent="0.25">
      <c r="B21" s="63"/>
      <c r="C21" s="84" t="s">
        <v>80</v>
      </c>
      <c r="D21" s="113" t="s">
        <v>397</v>
      </c>
      <c r="E21" s="109" t="s">
        <v>335</v>
      </c>
      <c r="F21" s="63" t="s">
        <v>336</v>
      </c>
      <c r="G21" s="63" t="s">
        <v>337</v>
      </c>
      <c r="H21" s="63" t="s">
        <v>398</v>
      </c>
      <c r="I21" s="63" t="s">
        <v>399</v>
      </c>
      <c r="J21" s="63" t="s">
        <v>400</v>
      </c>
      <c r="K21" s="202" t="s">
        <v>3</v>
      </c>
      <c r="L21" s="203"/>
      <c r="M21" s="204"/>
      <c r="N21" s="196" t="s">
        <v>83</v>
      </c>
      <c r="O21" s="196"/>
      <c r="P21" s="196"/>
    </row>
    <row r="22" spans="1:16" x14ac:dyDescent="0.25">
      <c r="B22" s="82" t="s">
        <v>401</v>
      </c>
      <c r="C22" s="84" t="s">
        <v>392</v>
      </c>
      <c r="D22" s="114">
        <v>1</v>
      </c>
      <c r="E22" s="110">
        <v>2</v>
      </c>
      <c r="F22" s="83">
        <v>3</v>
      </c>
      <c r="G22" s="83">
        <v>4</v>
      </c>
      <c r="H22" s="83">
        <v>5</v>
      </c>
      <c r="I22" s="83">
        <v>6</v>
      </c>
      <c r="J22" s="83">
        <v>7</v>
      </c>
      <c r="K22" s="240"/>
      <c r="L22" s="240"/>
      <c r="M22" s="240"/>
      <c r="N22" s="240"/>
      <c r="O22" s="240"/>
      <c r="P22" s="240"/>
    </row>
    <row r="23" spans="1:16" x14ac:dyDescent="0.25">
      <c r="B23" s="19" t="s">
        <v>402</v>
      </c>
      <c r="C23" s="80" t="s">
        <v>403</v>
      </c>
      <c r="D23" s="89">
        <v>0</v>
      </c>
      <c r="E23" s="111">
        <v>1</v>
      </c>
      <c r="F23" s="75">
        <v>1</v>
      </c>
      <c r="G23" s="75">
        <v>4</v>
      </c>
      <c r="H23" s="75">
        <v>6</v>
      </c>
      <c r="I23" s="75">
        <v>9</v>
      </c>
      <c r="J23" s="75">
        <v>10</v>
      </c>
      <c r="K23" s="240"/>
      <c r="L23" s="240"/>
      <c r="M23" s="240"/>
      <c r="N23" s="240"/>
      <c r="O23" s="240"/>
      <c r="P23" s="240"/>
    </row>
    <row r="24" spans="1:16" ht="43.15" customHeight="1" thickBot="1" x14ac:dyDescent="0.3">
      <c r="B24" s="19" t="s">
        <v>352</v>
      </c>
      <c r="C24" s="80" t="s">
        <v>85</v>
      </c>
      <c r="D24" s="92">
        <f>IF(D22&lt;=$D11,$D12*(1+$D15)^D23,0)</f>
        <v>20000</v>
      </c>
      <c r="E24" s="112">
        <f t="shared" ref="E24:J24" si="0">IF(E22&lt;=$D11,$D12*(1+$D15)^E23,0)</f>
        <v>20400</v>
      </c>
      <c r="F24" s="17">
        <f t="shared" si="0"/>
        <v>20400</v>
      </c>
      <c r="G24" s="17">
        <f t="shared" si="0"/>
        <v>21648.643199999999</v>
      </c>
      <c r="H24" s="17">
        <f t="shared" si="0"/>
        <v>22523.24838528</v>
      </c>
      <c r="I24" s="17">
        <f t="shared" si="0"/>
        <v>23901.851372446217</v>
      </c>
      <c r="J24" s="17">
        <f t="shared" si="0"/>
        <v>0</v>
      </c>
      <c r="K24" s="240" t="s">
        <v>404</v>
      </c>
      <c r="L24" s="240"/>
      <c r="M24" s="240"/>
      <c r="N24" s="240" t="s">
        <v>405</v>
      </c>
      <c r="O24" s="240"/>
      <c r="P24" s="240"/>
    </row>
    <row r="25" spans="1:16" ht="15.75" thickTop="1" x14ac:dyDescent="0.25"/>
    <row r="29" spans="1:16" x14ac:dyDescent="0.25">
      <c r="D29" s="59"/>
    </row>
    <row r="31" spans="1:16" x14ac:dyDescent="0.25">
      <c r="D31" s="59"/>
    </row>
    <row r="32" spans="1:16" x14ac:dyDescent="0.25">
      <c r="D32" s="81"/>
    </row>
    <row r="34" spans="3:10" x14ac:dyDescent="0.25">
      <c r="C34" s="58"/>
    </row>
    <row r="35" spans="3:10" x14ac:dyDescent="0.25">
      <c r="C35" s="58"/>
    </row>
    <row r="36" spans="3:10" x14ac:dyDescent="0.25">
      <c r="C36" s="58"/>
      <c r="D36" s="59"/>
      <c r="E36" s="59"/>
      <c r="F36" s="59"/>
      <c r="G36" s="59"/>
      <c r="H36" s="59"/>
      <c r="I36" s="59"/>
      <c r="J36" s="59"/>
    </row>
  </sheetData>
  <mergeCells count="21">
    <mergeCell ref="B5:J5"/>
    <mergeCell ref="N21:P21"/>
    <mergeCell ref="N23:P23"/>
    <mergeCell ref="N24:P24"/>
    <mergeCell ref="K21:M21"/>
    <mergeCell ref="K22:M22"/>
    <mergeCell ref="K23:M23"/>
    <mergeCell ref="K24:M24"/>
    <mergeCell ref="N22:P22"/>
    <mergeCell ref="E14:G14"/>
    <mergeCell ref="H14:J14"/>
    <mergeCell ref="E15:G15"/>
    <mergeCell ref="H15:J15"/>
    <mergeCell ref="E12:G12"/>
    <mergeCell ref="H12:J12"/>
    <mergeCell ref="E9:G9"/>
    <mergeCell ref="H9:J9"/>
    <mergeCell ref="E10:G10"/>
    <mergeCell ref="H10:J10"/>
    <mergeCell ref="E11:G11"/>
    <mergeCell ref="H11:J11"/>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0DE387-AF79-434F-B922-16E430C12090}">
  <sheetPr>
    <tabColor theme="5" tint="0.59999389629810485"/>
  </sheetPr>
  <dimension ref="A1:AA54"/>
  <sheetViews>
    <sheetView zoomScale="70" zoomScaleNormal="70" workbookViewId="0">
      <selection activeCell="D26" sqref="D26"/>
    </sheetView>
    <sheetView workbookViewId="1">
      <selection activeCell="A16" sqref="A16:XFD16"/>
    </sheetView>
  </sheetViews>
  <sheetFormatPr defaultColWidth="8.85546875" defaultRowHeight="15" outlineLevelRow="3" x14ac:dyDescent="0.25"/>
  <cols>
    <col min="1" max="1" width="8.85546875" style="2"/>
    <col min="2" max="2" width="42.28515625" style="2" customWidth="1"/>
    <col min="3" max="3" width="10.7109375" style="2" customWidth="1"/>
    <col min="4" max="27" width="18.7109375" style="2" customWidth="1"/>
    <col min="28" max="16384" width="8.85546875" style="2"/>
  </cols>
  <sheetData>
    <row r="1" spans="1:27" s="1" customFormat="1" ht="20.25" thickBot="1" x14ac:dyDescent="0.35">
      <c r="A1" s="1" t="s">
        <v>406</v>
      </c>
      <c r="G1" s="1" t="s">
        <v>407</v>
      </c>
      <c r="H1" s="153" t="s">
        <v>59</v>
      </c>
      <c r="I1" s="154" t="s">
        <v>60</v>
      </c>
      <c r="J1" s="155" t="s">
        <v>61</v>
      </c>
      <c r="K1" s="156" t="s">
        <v>62</v>
      </c>
      <c r="L1" s="157" t="s">
        <v>63</v>
      </c>
    </row>
    <row r="2" spans="1:27" ht="15.75" thickTop="1" x14ac:dyDescent="0.25"/>
    <row r="3" spans="1:27" s="8" customFormat="1" ht="15.75" outlineLevel="1" thickBot="1" x14ac:dyDescent="0.3">
      <c r="A3" s="8" t="s">
        <v>408</v>
      </c>
    </row>
    <row r="5" spans="1:27" x14ac:dyDescent="0.25">
      <c r="B5" s="31" t="s">
        <v>444</v>
      </c>
      <c r="C5" s="31" t="s">
        <v>80</v>
      </c>
      <c r="D5" s="16"/>
      <c r="E5" s="196" t="s">
        <v>3</v>
      </c>
      <c r="F5" s="196"/>
      <c r="G5" s="196"/>
      <c r="H5" s="196"/>
      <c r="I5" s="196" t="s">
        <v>83</v>
      </c>
      <c r="J5" s="196"/>
      <c r="K5" s="196"/>
      <c r="L5" s="196"/>
    </row>
    <row r="6" spans="1:27" ht="28.9" customHeight="1" x14ac:dyDescent="0.25">
      <c r="B6" s="125" t="s">
        <v>445</v>
      </c>
      <c r="C6" s="32" t="s">
        <v>243</v>
      </c>
      <c r="D6" s="181">
        <v>6.5299999999999997E-2</v>
      </c>
      <c r="E6" s="240" t="s">
        <v>448</v>
      </c>
      <c r="F6" s="240"/>
      <c r="G6" s="240"/>
      <c r="H6" s="240"/>
      <c r="I6" s="240" t="s">
        <v>451</v>
      </c>
      <c r="J6" s="240"/>
      <c r="K6" s="240"/>
      <c r="L6" s="240"/>
    </row>
    <row r="7" spans="1:27" ht="28.9" customHeight="1" x14ac:dyDescent="0.25">
      <c r="B7" s="125" t="s">
        <v>446</v>
      </c>
      <c r="C7" s="32" t="s">
        <v>243</v>
      </c>
      <c r="D7" s="181">
        <v>1.9E-2</v>
      </c>
      <c r="E7" s="240" t="s">
        <v>449</v>
      </c>
      <c r="F7" s="240"/>
      <c r="G7" s="240"/>
      <c r="H7" s="240"/>
      <c r="I7" s="240" t="s">
        <v>452</v>
      </c>
      <c r="J7" s="240"/>
      <c r="K7" s="240"/>
      <c r="L7" s="240"/>
    </row>
    <row r="8" spans="1:27" ht="28.9" customHeight="1" x14ac:dyDescent="0.25">
      <c r="B8" s="7" t="s">
        <v>447</v>
      </c>
      <c r="C8" s="31" t="s">
        <v>243</v>
      </c>
      <c r="D8" s="182">
        <f>D6-D7</f>
        <v>4.6299999999999994E-2</v>
      </c>
      <c r="E8" s="240" t="s">
        <v>450</v>
      </c>
      <c r="F8" s="240"/>
      <c r="G8" s="240"/>
      <c r="H8" s="240"/>
      <c r="I8" s="240" t="s">
        <v>453</v>
      </c>
      <c r="J8" s="240"/>
      <c r="K8" s="240"/>
      <c r="L8" s="240"/>
    </row>
    <row r="10" spans="1:27" outlineLevel="3" x14ac:dyDescent="0.25">
      <c r="B10" s="31"/>
      <c r="C10" s="31" t="s">
        <v>80</v>
      </c>
      <c r="D10" s="196" t="s">
        <v>3</v>
      </c>
      <c r="E10" s="196"/>
      <c r="F10" s="196"/>
      <c r="G10" s="196"/>
      <c r="H10" s="196" t="s">
        <v>83</v>
      </c>
      <c r="I10" s="196"/>
      <c r="J10" s="196"/>
      <c r="K10" s="196"/>
      <c r="L10" s="31">
        <v>0</v>
      </c>
      <c r="M10" s="31">
        <v>1</v>
      </c>
      <c r="N10" s="31">
        <v>2</v>
      </c>
      <c r="O10" s="31">
        <v>3</v>
      </c>
      <c r="P10" s="31">
        <v>4</v>
      </c>
      <c r="Q10" s="31">
        <v>5</v>
      </c>
      <c r="R10" s="31">
        <v>6</v>
      </c>
      <c r="S10" s="31">
        <v>7</v>
      </c>
      <c r="T10" s="31">
        <v>8</v>
      </c>
      <c r="U10" s="31">
        <v>9</v>
      </c>
      <c r="V10" s="31">
        <v>10</v>
      </c>
      <c r="W10" s="31">
        <v>11</v>
      </c>
      <c r="X10" s="31">
        <v>12</v>
      </c>
      <c r="Y10" s="31">
        <v>13</v>
      </c>
      <c r="Z10" s="31">
        <v>14</v>
      </c>
      <c r="AA10" s="31">
        <v>15</v>
      </c>
    </row>
    <row r="11" spans="1:27" outlineLevel="3" x14ac:dyDescent="0.25">
      <c r="B11" s="32" t="s">
        <v>409</v>
      </c>
      <c r="C11" s="32" t="s">
        <v>410</v>
      </c>
      <c r="D11" s="240" t="s">
        <v>411</v>
      </c>
      <c r="E11" s="240"/>
      <c r="F11" s="240"/>
      <c r="G11" s="240"/>
      <c r="H11" s="240"/>
      <c r="I11" s="240"/>
      <c r="J11" s="240"/>
      <c r="K11" s="240"/>
      <c r="L11" s="165">
        <v>2026</v>
      </c>
      <c r="M11" s="35">
        <f>L11+1</f>
        <v>2027</v>
      </c>
      <c r="N11" s="35">
        <f t="shared" ref="N11:AA11" si="0">M11+1</f>
        <v>2028</v>
      </c>
      <c r="O11" s="35">
        <f t="shared" si="0"/>
        <v>2029</v>
      </c>
      <c r="P11" s="35">
        <f t="shared" si="0"/>
        <v>2030</v>
      </c>
      <c r="Q11" s="35">
        <f t="shared" si="0"/>
        <v>2031</v>
      </c>
      <c r="R11" s="35">
        <f t="shared" si="0"/>
        <v>2032</v>
      </c>
      <c r="S11" s="35">
        <f t="shared" si="0"/>
        <v>2033</v>
      </c>
      <c r="T11" s="35">
        <f t="shared" si="0"/>
        <v>2034</v>
      </c>
      <c r="U11" s="35">
        <f t="shared" si="0"/>
        <v>2035</v>
      </c>
      <c r="V11" s="35">
        <f t="shared" si="0"/>
        <v>2036</v>
      </c>
      <c r="W11" s="35">
        <f t="shared" si="0"/>
        <v>2037</v>
      </c>
      <c r="X11" s="35">
        <f t="shared" si="0"/>
        <v>2038</v>
      </c>
      <c r="Y11" s="35">
        <f t="shared" si="0"/>
        <v>2039</v>
      </c>
      <c r="Z11" s="35">
        <f t="shared" si="0"/>
        <v>2040</v>
      </c>
      <c r="AA11" s="35">
        <f t="shared" si="0"/>
        <v>2041</v>
      </c>
    </row>
    <row r="12" spans="1:27" outlineLevel="3" x14ac:dyDescent="0.25">
      <c r="B12" s="32" t="s">
        <v>412</v>
      </c>
      <c r="C12" s="32" t="s">
        <v>392</v>
      </c>
      <c r="D12" s="240" t="s">
        <v>413</v>
      </c>
      <c r="E12" s="240"/>
      <c r="F12" s="240"/>
      <c r="G12" s="240"/>
      <c r="H12" s="240" t="s">
        <v>414</v>
      </c>
      <c r="I12" s="240"/>
      <c r="J12" s="240"/>
      <c r="K12" s="240"/>
      <c r="L12" s="172">
        <v>1</v>
      </c>
      <c r="M12" s="173">
        <f>1/(1+$D$8)^M$10</f>
        <v>0.95574882920768423</v>
      </c>
      <c r="N12" s="173">
        <f t="shared" ref="N12:AA12" si="1">1/(1+$D$8)^N$10</f>
        <v>0.91345582453185914</v>
      </c>
      <c r="O12" s="173">
        <f t="shared" si="1"/>
        <v>0.87303433482926418</v>
      </c>
      <c r="P12" s="173">
        <f t="shared" si="1"/>
        <v>0.83440154337117856</v>
      </c>
      <c r="Q12" s="173">
        <f t="shared" si="1"/>
        <v>0.79747829816608862</v>
      </c>
      <c r="R12" s="173">
        <f t="shared" si="1"/>
        <v>0.76218894979077567</v>
      </c>
      <c r="S12" s="173">
        <f t="shared" si="1"/>
        <v>0.72846119639756823</v>
      </c>
      <c r="T12" s="173">
        <f t="shared" si="1"/>
        <v>0.69622593558020462</v>
      </c>
      <c r="U12" s="173">
        <f t="shared" si="1"/>
        <v>0.66541712279480525</v>
      </c>
      <c r="V12" s="173">
        <f t="shared" si="1"/>
        <v>0.63597163604588081</v>
      </c>
      <c r="W12" s="173">
        <f t="shared" si="1"/>
        <v>0.60782914656014608</v>
      </c>
      <c r="X12" s="173">
        <f t="shared" si="1"/>
        <v>0.58093199518316552</v>
      </c>
      <c r="Y12" s="173">
        <f t="shared" si="1"/>
        <v>0.55522507424559442</v>
      </c>
      <c r="Z12" s="173">
        <f t="shared" si="1"/>
        <v>0.53065571465697647</v>
      </c>
      <c r="AA12" s="173">
        <f t="shared" si="1"/>
        <v>0.50717357799577223</v>
      </c>
    </row>
    <row r="13" spans="1:27" x14ac:dyDescent="0.25">
      <c r="B13" s="32" t="s">
        <v>415</v>
      </c>
      <c r="C13" s="32" t="s">
        <v>392</v>
      </c>
      <c r="D13" s="205" t="s">
        <v>416</v>
      </c>
      <c r="E13" s="205"/>
      <c r="F13" s="205"/>
      <c r="G13" s="205"/>
      <c r="H13" s="205" t="s">
        <v>417</v>
      </c>
      <c r="I13" s="205"/>
      <c r="J13" s="205"/>
      <c r="K13" s="205"/>
      <c r="L13" s="183">
        <v>1</v>
      </c>
      <c r="M13" s="183">
        <v>1.1499999999999999</v>
      </c>
      <c r="N13" s="183">
        <v>1.1599999999999999</v>
      </c>
      <c r="O13" s="183">
        <v>1.19</v>
      </c>
      <c r="P13" s="183">
        <v>1.21</v>
      </c>
      <c r="Q13" s="183">
        <v>1.24</v>
      </c>
      <c r="R13" s="183">
        <v>1.2</v>
      </c>
      <c r="S13" s="183">
        <v>1.2</v>
      </c>
      <c r="T13" s="183">
        <v>1.2</v>
      </c>
      <c r="U13" s="183">
        <v>1.2</v>
      </c>
      <c r="V13" s="183">
        <v>1.2</v>
      </c>
      <c r="W13" s="183">
        <v>1.2</v>
      </c>
      <c r="X13" s="183">
        <v>1.2</v>
      </c>
      <c r="Y13" s="183">
        <v>1.2</v>
      </c>
      <c r="Z13" s="183">
        <v>1.2</v>
      </c>
      <c r="AA13" s="183">
        <v>1.2</v>
      </c>
    </row>
    <row r="14" spans="1:27" x14ac:dyDescent="0.25">
      <c r="B14" s="19" t="s">
        <v>418</v>
      </c>
      <c r="C14" s="32" t="s">
        <v>85</v>
      </c>
      <c r="D14" s="240"/>
      <c r="E14" s="240"/>
      <c r="F14" s="240"/>
      <c r="G14" s="240"/>
      <c r="H14" s="240"/>
      <c r="I14" s="240"/>
      <c r="J14" s="240"/>
      <c r="K14" s="240"/>
      <c r="L14" s="32"/>
      <c r="M14" s="9">
        <v>250000</v>
      </c>
      <c r="N14" s="32"/>
      <c r="O14" s="32"/>
      <c r="P14" s="32"/>
      <c r="Q14" s="32"/>
      <c r="R14" s="32"/>
      <c r="S14" s="32"/>
      <c r="T14" s="32"/>
      <c r="U14" s="32"/>
      <c r="V14" s="32"/>
      <c r="W14" s="32"/>
      <c r="X14" s="32"/>
      <c r="Y14" s="32"/>
      <c r="Z14" s="32"/>
      <c r="AA14" s="32"/>
    </row>
    <row r="15" spans="1:27" x14ac:dyDescent="0.25">
      <c r="B15" s="19" t="s">
        <v>419</v>
      </c>
      <c r="C15" s="32" t="s">
        <v>85</v>
      </c>
      <c r="D15" s="240"/>
      <c r="E15" s="240"/>
      <c r="F15" s="240"/>
      <c r="G15" s="240"/>
      <c r="H15" s="240"/>
      <c r="I15" s="240"/>
      <c r="J15" s="240"/>
      <c r="K15" s="240"/>
      <c r="L15" s="165"/>
      <c r="M15" s="9">
        <v>10000</v>
      </c>
      <c r="N15" s="17">
        <f>M15*N13/M13</f>
        <v>10086.956521739132</v>
      </c>
      <c r="O15" s="17">
        <f t="shared" ref="O15:AA15" si="2">N15*O13/N13</f>
        <v>10347.826086956524</v>
      </c>
      <c r="P15" s="17">
        <f>O15*P13/O13</f>
        <v>10521.739130434786</v>
      </c>
      <c r="Q15" s="17">
        <f t="shared" si="2"/>
        <v>10782.608695652178</v>
      </c>
      <c r="R15" s="17">
        <f t="shared" si="2"/>
        <v>10434.782608695656</v>
      </c>
      <c r="S15" s="17">
        <f t="shared" si="2"/>
        <v>10434.782608695656</v>
      </c>
      <c r="T15" s="17">
        <f t="shared" si="2"/>
        <v>10434.782608695656</v>
      </c>
      <c r="U15" s="17">
        <f t="shared" si="2"/>
        <v>10434.782608695656</v>
      </c>
      <c r="V15" s="17">
        <f t="shared" si="2"/>
        <v>10434.782608695656</v>
      </c>
      <c r="W15" s="17">
        <f t="shared" si="2"/>
        <v>10434.782608695656</v>
      </c>
      <c r="X15" s="17">
        <f t="shared" si="2"/>
        <v>10434.782608695656</v>
      </c>
      <c r="Y15" s="17">
        <f t="shared" si="2"/>
        <v>10434.782608695656</v>
      </c>
      <c r="Z15" s="17">
        <f t="shared" si="2"/>
        <v>10434.782608695656</v>
      </c>
      <c r="AA15" s="17">
        <f t="shared" si="2"/>
        <v>10434.782608695656</v>
      </c>
    </row>
    <row r="16" spans="1:27" x14ac:dyDescent="0.25">
      <c r="B16" s="19" t="s">
        <v>420</v>
      </c>
      <c r="C16" s="32" t="s">
        <v>85</v>
      </c>
      <c r="D16" s="240"/>
      <c r="E16" s="240"/>
      <c r="F16" s="240"/>
      <c r="G16" s="240"/>
      <c r="H16" s="240"/>
      <c r="I16" s="240"/>
      <c r="J16" s="240"/>
      <c r="K16" s="240"/>
      <c r="L16" s="165"/>
      <c r="M16" s="9">
        <v>80000</v>
      </c>
      <c r="N16" s="15">
        <f>M16</f>
        <v>80000</v>
      </c>
      <c r="O16" s="15">
        <f t="shared" ref="O16:AA17" si="3">N16</f>
        <v>80000</v>
      </c>
      <c r="P16" s="15">
        <f t="shared" si="3"/>
        <v>80000</v>
      </c>
      <c r="Q16" s="15">
        <f t="shared" si="3"/>
        <v>80000</v>
      </c>
      <c r="R16" s="15">
        <f t="shared" si="3"/>
        <v>80000</v>
      </c>
      <c r="S16" s="15">
        <f t="shared" si="3"/>
        <v>80000</v>
      </c>
      <c r="T16" s="15">
        <f t="shared" si="3"/>
        <v>80000</v>
      </c>
      <c r="U16" s="15">
        <f t="shared" si="3"/>
        <v>80000</v>
      </c>
      <c r="V16" s="15">
        <f t="shared" si="3"/>
        <v>80000</v>
      </c>
      <c r="W16" s="15">
        <f t="shared" si="3"/>
        <v>80000</v>
      </c>
      <c r="X16" s="15">
        <f t="shared" si="3"/>
        <v>80000</v>
      </c>
      <c r="Y16" s="15">
        <f t="shared" si="3"/>
        <v>80000</v>
      </c>
      <c r="Z16" s="15">
        <f t="shared" si="3"/>
        <v>80000</v>
      </c>
      <c r="AA16" s="15">
        <f t="shared" si="3"/>
        <v>80000</v>
      </c>
    </row>
    <row r="17" spans="1:27" x14ac:dyDescent="0.25">
      <c r="B17" s="19" t="s">
        <v>421</v>
      </c>
      <c r="C17" s="32" t="s">
        <v>85</v>
      </c>
      <c r="D17" s="240"/>
      <c r="E17" s="240"/>
      <c r="F17" s="240"/>
      <c r="G17" s="240"/>
      <c r="H17" s="240"/>
      <c r="I17" s="240"/>
      <c r="J17" s="240"/>
      <c r="K17" s="240"/>
      <c r="L17" s="165"/>
      <c r="M17" s="165"/>
      <c r="N17" s="165"/>
      <c r="O17" s="165"/>
      <c r="P17" s="165"/>
      <c r="Q17" s="165">
        <v>100000</v>
      </c>
      <c r="R17" s="162">
        <f>Q17</f>
        <v>100000</v>
      </c>
      <c r="S17" s="162">
        <f t="shared" si="3"/>
        <v>100000</v>
      </c>
      <c r="T17" s="162">
        <f t="shared" si="3"/>
        <v>100000</v>
      </c>
      <c r="U17" s="162">
        <f t="shared" si="3"/>
        <v>100000</v>
      </c>
      <c r="V17" s="162">
        <f t="shared" si="3"/>
        <v>100000</v>
      </c>
      <c r="W17" s="162">
        <f t="shared" si="3"/>
        <v>100000</v>
      </c>
      <c r="X17" s="162">
        <f t="shared" si="3"/>
        <v>100000</v>
      </c>
      <c r="Y17" s="162">
        <f t="shared" si="3"/>
        <v>100000</v>
      </c>
      <c r="Z17" s="162">
        <f t="shared" si="3"/>
        <v>100000</v>
      </c>
      <c r="AA17" s="162">
        <f t="shared" si="3"/>
        <v>100000</v>
      </c>
    </row>
    <row r="18" spans="1:27" ht="28.9" customHeight="1" thickBot="1" x14ac:dyDescent="0.3">
      <c r="B18" s="43" t="s">
        <v>422</v>
      </c>
      <c r="C18" s="49" t="s">
        <v>85</v>
      </c>
      <c r="D18" s="246"/>
      <c r="E18" s="246"/>
      <c r="F18" s="246"/>
      <c r="G18" s="246"/>
      <c r="H18" s="247"/>
      <c r="I18" s="247"/>
      <c r="J18" s="247"/>
      <c r="K18" s="247"/>
      <c r="L18" s="51">
        <f>SUM(L14:L17)*L12</f>
        <v>0</v>
      </c>
      <c r="M18" s="51">
        <f t="shared" ref="M18:AA18" si="4">SUM(M14:M17)*M12</f>
        <v>324954.60193061264</v>
      </c>
      <c r="N18" s="51">
        <f t="shared" si="4"/>
        <v>82290.455149130968</v>
      </c>
      <c r="O18" s="51">
        <f t="shared" si="4"/>
        <v>78876.754251096136</v>
      </c>
      <c r="P18" s="51">
        <f t="shared" si="4"/>
        <v>75531.478839077987</v>
      </c>
      <c r="Q18" s="51">
        <f t="shared" si="4"/>
        <v>152144.9901022955</v>
      </c>
      <c r="R18" s="51">
        <f t="shared" si="4"/>
        <v>145147.2869601564</v>
      </c>
      <c r="S18" s="51">
        <f t="shared" si="4"/>
        <v>138724.34957484124</v>
      </c>
      <c r="T18" s="51">
        <f t="shared" si="4"/>
        <v>132585.634688752</v>
      </c>
      <c r="U18" s="51">
        <f t="shared" si="4"/>
        <v>126718.56512353248</v>
      </c>
      <c r="V18" s="51">
        <f t="shared" si="4"/>
        <v>121111.12025569382</v>
      </c>
      <c r="W18" s="51">
        <f t="shared" si="4"/>
        <v>115751.81138841042</v>
      </c>
      <c r="X18" s="51">
        <f t="shared" si="4"/>
        <v>110629.65821314196</v>
      </c>
      <c r="Y18" s="51">
        <f t="shared" si="4"/>
        <v>105734.16631285667</v>
      </c>
      <c r="Z18" s="51">
        <f t="shared" si="4"/>
        <v>101055.30566076335</v>
      </c>
      <c r="AA18" s="51">
        <f t="shared" si="4"/>
        <v>96583.490070499232</v>
      </c>
    </row>
    <row r="19" spans="1:27" ht="15.75" thickTop="1" x14ac:dyDescent="0.25">
      <c r="B19" s="54"/>
      <c r="D19" s="57"/>
      <c r="E19" s="57"/>
      <c r="F19" s="57"/>
      <c r="G19" s="57"/>
      <c r="H19" s="57"/>
      <c r="I19" s="57"/>
      <c r="J19" s="57"/>
      <c r="K19" s="57"/>
      <c r="L19" s="48"/>
      <c r="M19" s="48"/>
      <c r="N19" s="48"/>
      <c r="O19" s="48"/>
      <c r="P19" s="48"/>
      <c r="Q19" s="48"/>
      <c r="R19" s="36"/>
      <c r="S19" s="36"/>
      <c r="T19" s="36"/>
      <c r="U19" s="36"/>
      <c r="V19" s="36"/>
      <c r="W19" s="36"/>
      <c r="X19" s="36"/>
      <c r="Y19" s="36"/>
      <c r="Z19" s="36"/>
      <c r="AA19" s="36"/>
    </row>
    <row r="20" spans="1:27" x14ac:dyDescent="0.25">
      <c r="B20" s="32"/>
      <c r="C20" s="31" t="s">
        <v>80</v>
      </c>
      <c r="D20" s="16" t="s">
        <v>423</v>
      </c>
      <c r="E20" s="196" t="s">
        <v>3</v>
      </c>
      <c r="F20" s="196" t="s">
        <v>424</v>
      </c>
      <c r="G20" s="196" t="s">
        <v>425</v>
      </c>
      <c r="H20" s="196"/>
      <c r="I20" s="196" t="s">
        <v>83</v>
      </c>
      <c r="J20" s="196"/>
      <c r="K20" s="196"/>
      <c r="L20" s="196"/>
      <c r="M20" s="48"/>
      <c r="N20" s="48"/>
      <c r="O20" s="48"/>
      <c r="P20" s="48"/>
      <c r="Q20" s="48"/>
      <c r="R20" s="36"/>
      <c r="S20" s="36"/>
      <c r="T20" s="36"/>
      <c r="U20" s="36"/>
      <c r="V20" s="36"/>
      <c r="W20" s="36"/>
      <c r="X20" s="36"/>
      <c r="Y20" s="36"/>
      <c r="Z20" s="36"/>
      <c r="AA20" s="36"/>
    </row>
    <row r="21" spans="1:27" x14ac:dyDescent="0.25">
      <c r="B21" s="125" t="s">
        <v>283</v>
      </c>
      <c r="C21" s="32" t="s">
        <v>85</v>
      </c>
      <c r="D21" s="17">
        <f>SUM(L18:AA18)</f>
        <v>1907839.6685208606</v>
      </c>
      <c r="E21" s="205"/>
      <c r="F21" s="205"/>
      <c r="G21" s="205"/>
      <c r="H21" s="205"/>
      <c r="I21" s="205"/>
      <c r="J21" s="205"/>
      <c r="K21" s="205"/>
      <c r="L21" s="205"/>
      <c r="M21" s="48"/>
      <c r="N21" s="48"/>
      <c r="O21" s="48"/>
      <c r="P21" s="48"/>
      <c r="Q21" s="48"/>
      <c r="R21" s="36"/>
      <c r="S21" s="36"/>
      <c r="T21" s="36"/>
      <c r="U21" s="36"/>
      <c r="V21" s="36"/>
      <c r="W21" s="36"/>
      <c r="X21" s="36"/>
      <c r="Y21" s="36"/>
      <c r="Z21" s="36"/>
      <c r="AA21" s="36"/>
    </row>
    <row r="23" spans="1:27" s="8" customFormat="1" ht="15.75" outlineLevel="1" thickBot="1" x14ac:dyDescent="0.3">
      <c r="A23" s="8" t="s">
        <v>426</v>
      </c>
    </row>
    <row r="25" spans="1:27" x14ac:dyDescent="0.25">
      <c r="B25" s="32"/>
      <c r="C25" s="31" t="s">
        <v>80</v>
      </c>
      <c r="D25" s="16" t="s">
        <v>423</v>
      </c>
      <c r="E25" s="196" t="s">
        <v>3</v>
      </c>
      <c r="F25" s="196" t="s">
        <v>424</v>
      </c>
      <c r="G25" s="196" t="s">
        <v>425</v>
      </c>
      <c r="H25" s="196"/>
      <c r="I25" s="196" t="s">
        <v>83</v>
      </c>
      <c r="J25" s="196"/>
      <c r="K25" s="196"/>
      <c r="L25" s="196"/>
    </row>
    <row r="26" spans="1:27" x14ac:dyDescent="0.25">
      <c r="B26" s="32" t="s">
        <v>427</v>
      </c>
      <c r="C26" s="32" t="s">
        <v>85</v>
      </c>
      <c r="D26" s="17">
        <f>M14*M12</f>
        <v>238937.20730192107</v>
      </c>
      <c r="E26" s="205"/>
      <c r="F26" s="205"/>
      <c r="G26" s="205"/>
      <c r="H26" s="205"/>
      <c r="I26" s="205"/>
      <c r="J26" s="205"/>
      <c r="K26" s="205"/>
      <c r="L26" s="205"/>
    </row>
    <row r="28" spans="1:27" s="8" customFormat="1" ht="15.75" outlineLevel="1" thickBot="1" x14ac:dyDescent="0.3">
      <c r="A28" s="8" t="s">
        <v>428</v>
      </c>
    </row>
    <row r="30" spans="1:27" x14ac:dyDescent="0.25">
      <c r="B30" s="32"/>
      <c r="C30" s="31" t="s">
        <v>80</v>
      </c>
      <c r="D30" s="196" t="s">
        <v>3</v>
      </c>
      <c r="E30" s="196"/>
      <c r="F30" s="196"/>
      <c r="G30" s="196"/>
      <c r="H30" s="196" t="s">
        <v>83</v>
      </c>
      <c r="I30" s="196"/>
      <c r="J30" s="196"/>
      <c r="K30" s="196"/>
      <c r="L30" s="31">
        <v>0</v>
      </c>
      <c r="M30" s="31">
        <v>1</v>
      </c>
      <c r="N30" s="31">
        <v>2</v>
      </c>
      <c r="O30" s="31">
        <v>3</v>
      </c>
      <c r="P30" s="31">
        <v>4</v>
      </c>
      <c r="Q30" s="31">
        <v>5</v>
      </c>
      <c r="R30" s="31">
        <v>6</v>
      </c>
      <c r="S30" s="31">
        <v>7</v>
      </c>
      <c r="T30" s="31">
        <v>8</v>
      </c>
      <c r="U30" s="31">
        <v>9</v>
      </c>
      <c r="V30" s="31">
        <v>10</v>
      </c>
      <c r="W30" s="31">
        <v>11</v>
      </c>
      <c r="X30" s="31">
        <v>12</v>
      </c>
      <c r="Y30" s="31">
        <v>13</v>
      </c>
      <c r="Z30" s="31">
        <v>14</v>
      </c>
      <c r="AA30" s="31">
        <v>15</v>
      </c>
    </row>
    <row r="31" spans="1:27" ht="28.9" customHeight="1" x14ac:dyDescent="0.25">
      <c r="B31" s="125" t="s">
        <v>429</v>
      </c>
      <c r="C31" s="32" t="s">
        <v>85</v>
      </c>
      <c r="D31" s="240"/>
      <c r="E31" s="240"/>
      <c r="F31" s="240"/>
      <c r="G31" s="240"/>
      <c r="H31" s="240"/>
      <c r="I31" s="240"/>
      <c r="J31" s="240"/>
      <c r="K31" s="240"/>
      <c r="L31" s="17">
        <f>SUM(L15:L17)*L12</f>
        <v>0</v>
      </c>
      <c r="M31" s="17">
        <f>SUM(M15:M17)*M12</f>
        <v>86017.394628691574</v>
      </c>
      <c r="N31" s="17">
        <f t="shared" ref="N31:AA31" si="5">SUM(N15:N17)*N12</f>
        <v>82290.455149130968</v>
      </c>
      <c r="O31" s="17">
        <f t="shared" si="5"/>
        <v>78876.754251096136</v>
      </c>
      <c r="P31" s="17">
        <f t="shared" si="5"/>
        <v>75531.478839077987</v>
      </c>
      <c r="Q31" s="17">
        <f t="shared" si="5"/>
        <v>152144.9901022955</v>
      </c>
      <c r="R31" s="17">
        <f t="shared" si="5"/>
        <v>145147.2869601564</v>
      </c>
      <c r="S31" s="17">
        <f t="shared" si="5"/>
        <v>138724.34957484124</v>
      </c>
      <c r="T31" s="17">
        <f t="shared" si="5"/>
        <v>132585.634688752</v>
      </c>
      <c r="U31" s="17">
        <f t="shared" si="5"/>
        <v>126718.56512353248</v>
      </c>
      <c r="V31" s="17">
        <f t="shared" si="5"/>
        <v>121111.12025569382</v>
      </c>
      <c r="W31" s="17">
        <f t="shared" si="5"/>
        <v>115751.81138841042</v>
      </c>
      <c r="X31" s="17">
        <f t="shared" si="5"/>
        <v>110629.65821314196</v>
      </c>
      <c r="Y31" s="17">
        <f t="shared" si="5"/>
        <v>105734.16631285667</v>
      </c>
      <c r="Z31" s="17">
        <f t="shared" si="5"/>
        <v>101055.30566076335</v>
      </c>
      <c r="AA31" s="17">
        <f t="shared" si="5"/>
        <v>96583.490070499232</v>
      </c>
    </row>
    <row r="33" spans="2:20" x14ac:dyDescent="0.25">
      <c r="B33" s="32"/>
      <c r="C33" s="31" t="s">
        <v>80</v>
      </c>
      <c r="D33" s="16" t="s">
        <v>423</v>
      </c>
      <c r="E33" s="196" t="s">
        <v>3</v>
      </c>
      <c r="F33" s="196" t="s">
        <v>424</v>
      </c>
      <c r="G33" s="196" t="s">
        <v>425</v>
      </c>
      <c r="H33" s="196"/>
      <c r="I33" s="196" t="s">
        <v>83</v>
      </c>
      <c r="J33" s="196"/>
      <c r="K33" s="196"/>
      <c r="L33" s="196"/>
    </row>
    <row r="34" spans="2:20" ht="30" x14ac:dyDescent="0.25">
      <c r="B34" s="125" t="s">
        <v>430</v>
      </c>
      <c r="C34" s="32" t="s">
        <v>85</v>
      </c>
      <c r="D34" s="17">
        <f>SUM(L31:AA31)</f>
        <v>1668902.4612189394</v>
      </c>
      <c r="E34" s="205"/>
      <c r="F34" s="205"/>
      <c r="G34" s="205"/>
      <c r="H34" s="205"/>
      <c r="I34" s="205"/>
      <c r="J34" s="205"/>
      <c r="K34" s="205"/>
      <c r="L34" s="205"/>
    </row>
    <row r="41" spans="2:20" x14ac:dyDescent="0.25">
      <c r="C41" s="58"/>
      <c r="D41" s="174"/>
    </row>
    <row r="42" spans="2:20" x14ac:dyDescent="0.25">
      <c r="E42" s="174"/>
    </row>
    <row r="45" spans="2:20" x14ac:dyDescent="0.25">
      <c r="E45" s="175"/>
      <c r="F45" s="175"/>
      <c r="G45" s="175"/>
      <c r="H45" s="175"/>
      <c r="I45" s="175"/>
      <c r="J45" s="175"/>
      <c r="K45" s="175"/>
      <c r="L45" s="175"/>
      <c r="M45" s="175"/>
      <c r="N45" s="175"/>
      <c r="O45" s="175"/>
      <c r="P45" s="175"/>
      <c r="Q45" s="175"/>
      <c r="R45" s="175"/>
      <c r="S45" s="175"/>
      <c r="T45" s="175"/>
    </row>
    <row r="47" spans="2:20" x14ac:dyDescent="0.25">
      <c r="E47" s="175"/>
      <c r="F47" s="175"/>
      <c r="G47" s="175"/>
      <c r="H47" s="175"/>
      <c r="I47" s="175"/>
      <c r="J47" s="175"/>
      <c r="K47" s="175"/>
      <c r="L47" s="175"/>
      <c r="M47" s="175"/>
      <c r="N47" s="175"/>
      <c r="O47" s="175"/>
      <c r="P47" s="175"/>
      <c r="Q47" s="175"/>
      <c r="R47" s="175"/>
      <c r="S47" s="175"/>
      <c r="T47" s="175"/>
    </row>
    <row r="48" spans="2:20" x14ac:dyDescent="0.25">
      <c r="D48" s="58"/>
      <c r="F48" s="176"/>
    </row>
    <row r="49" spans="4:20" x14ac:dyDescent="0.25">
      <c r="D49" s="58"/>
      <c r="F49" s="176"/>
      <c r="G49" s="177"/>
      <c r="H49" s="177"/>
      <c r="I49" s="177"/>
      <c r="J49" s="177"/>
      <c r="K49" s="177"/>
      <c r="L49" s="177"/>
      <c r="M49" s="177"/>
      <c r="N49" s="177"/>
      <c r="O49" s="177"/>
      <c r="P49" s="177"/>
      <c r="Q49" s="177"/>
      <c r="R49" s="177"/>
      <c r="S49" s="177"/>
      <c r="T49" s="177"/>
    </row>
    <row r="50" spans="4:20" x14ac:dyDescent="0.25">
      <c r="D50" s="58"/>
      <c r="F50" s="176"/>
      <c r="G50" s="177"/>
      <c r="H50" s="177"/>
      <c r="I50" s="177"/>
      <c r="J50" s="177"/>
      <c r="K50" s="177"/>
      <c r="L50" s="177"/>
      <c r="M50" s="177"/>
      <c r="N50" s="177"/>
      <c r="O50" s="177"/>
      <c r="P50" s="177"/>
      <c r="Q50" s="177"/>
      <c r="R50" s="177"/>
      <c r="S50" s="177"/>
      <c r="T50" s="177"/>
    </row>
    <row r="51" spans="4:20" x14ac:dyDescent="0.25">
      <c r="D51" s="58"/>
      <c r="J51" s="177"/>
      <c r="K51" s="177"/>
      <c r="L51" s="177"/>
      <c r="M51" s="177"/>
      <c r="N51" s="177"/>
      <c r="O51" s="177"/>
      <c r="P51" s="177"/>
      <c r="Q51" s="177"/>
      <c r="R51" s="177"/>
      <c r="S51" s="177"/>
      <c r="T51" s="177"/>
    </row>
    <row r="53" spans="4:20" x14ac:dyDescent="0.25">
      <c r="D53" s="58"/>
      <c r="F53" s="177"/>
      <c r="G53" s="177"/>
      <c r="H53" s="177"/>
      <c r="I53" s="177"/>
      <c r="J53" s="177"/>
      <c r="K53" s="177"/>
      <c r="L53" s="177"/>
      <c r="M53" s="177"/>
      <c r="N53" s="177"/>
      <c r="O53" s="177"/>
      <c r="P53" s="177"/>
      <c r="Q53" s="177"/>
      <c r="R53" s="177"/>
      <c r="S53" s="177"/>
      <c r="T53" s="177"/>
    </row>
    <row r="54" spans="4:20" x14ac:dyDescent="0.25">
      <c r="D54" s="58"/>
      <c r="E54" s="177"/>
    </row>
  </sheetData>
  <mergeCells count="42">
    <mergeCell ref="E5:H5"/>
    <mergeCell ref="I5:L5"/>
    <mergeCell ref="E6:H6"/>
    <mergeCell ref="E7:H7"/>
    <mergeCell ref="E8:H8"/>
    <mergeCell ref="I6:L6"/>
    <mergeCell ref="I7:L7"/>
    <mergeCell ref="I8:L8"/>
    <mergeCell ref="E33:H33"/>
    <mergeCell ref="I33:L33"/>
    <mergeCell ref="E34:H34"/>
    <mergeCell ref="I34:L34"/>
    <mergeCell ref="E26:H26"/>
    <mergeCell ref="I26:L26"/>
    <mergeCell ref="D30:G30"/>
    <mergeCell ref="H30:K30"/>
    <mergeCell ref="D31:G31"/>
    <mergeCell ref="H31:K31"/>
    <mergeCell ref="E20:H20"/>
    <mergeCell ref="I20:L20"/>
    <mergeCell ref="E21:H21"/>
    <mergeCell ref="I21:L21"/>
    <mergeCell ref="E25:H25"/>
    <mergeCell ref="I25:L25"/>
    <mergeCell ref="D16:G16"/>
    <mergeCell ref="H16:K16"/>
    <mergeCell ref="D17:G17"/>
    <mergeCell ref="H17:K17"/>
    <mergeCell ref="D18:G18"/>
    <mergeCell ref="H18:K18"/>
    <mergeCell ref="D13:G13"/>
    <mergeCell ref="H13:K13"/>
    <mergeCell ref="D14:G14"/>
    <mergeCell ref="H14:K14"/>
    <mergeCell ref="D15:G15"/>
    <mergeCell ref="H15:K15"/>
    <mergeCell ref="D10:G10"/>
    <mergeCell ref="H10:K10"/>
    <mergeCell ref="D11:G11"/>
    <mergeCell ref="H11:K11"/>
    <mergeCell ref="D12:G12"/>
    <mergeCell ref="H12:K12"/>
  </mergeCells>
  <dataValidations count="1">
    <dataValidation type="list" allowBlank="1" showInputMessage="1" showErrorMessage="1" sqref="C10" xr:uid="{EEDCB633-D34F-44E0-B0AD-9C27D4128722}">
      <formula1>$D$57:$J$57</formula1>
    </dataValidation>
  </dataValidation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C348EC-0120-4EF1-AF78-5854B3CB9A3D}">
  <sheetPr>
    <tabColor theme="8" tint="0.59999389629810485"/>
  </sheetPr>
  <dimension ref="A1:L9"/>
  <sheetViews>
    <sheetView workbookViewId="0">
      <pane ySplit="1" topLeftCell="A2" activePane="bottomLeft" state="frozen"/>
      <selection pane="bottomLeft" activeCell="B20" sqref="B20"/>
    </sheetView>
    <sheetView workbookViewId="1"/>
  </sheetViews>
  <sheetFormatPr defaultColWidth="8.85546875" defaultRowHeight="15" outlineLevelRow="1" x14ac:dyDescent="0.25"/>
  <cols>
    <col min="1" max="1" width="22" style="2" customWidth="1"/>
    <col min="2" max="2" width="38.7109375" style="2" customWidth="1"/>
    <col min="3" max="3" width="11.7109375" style="2" customWidth="1"/>
    <col min="4" max="20" width="12.5703125" style="2" customWidth="1"/>
    <col min="21" max="16384" width="8.85546875" style="2"/>
  </cols>
  <sheetData>
    <row r="1" spans="1:12" s="1" customFormat="1" ht="20.25" thickBot="1" x14ac:dyDescent="0.35">
      <c r="A1" s="1" t="s">
        <v>431</v>
      </c>
      <c r="C1" s="1" t="s">
        <v>58</v>
      </c>
      <c r="D1" s="153" t="s">
        <v>59</v>
      </c>
      <c r="E1" s="154" t="s">
        <v>60</v>
      </c>
      <c r="F1" s="155" t="s">
        <v>61</v>
      </c>
      <c r="G1" s="156" t="s">
        <v>62</v>
      </c>
      <c r="H1" s="157" t="s">
        <v>63</v>
      </c>
    </row>
    <row r="2" spans="1:12" ht="15.75" outlineLevel="1" thickTop="1" x14ac:dyDescent="0.25">
      <c r="A2" s="3" t="s">
        <v>64</v>
      </c>
    </row>
    <row r="3" spans="1:12" outlineLevel="1" x14ac:dyDescent="0.25"/>
    <row r="4" spans="1:12" ht="28.9" customHeight="1" x14ac:dyDescent="0.25">
      <c r="A4" s="31"/>
      <c r="B4" s="31" t="s">
        <v>3</v>
      </c>
      <c r="C4" s="31" t="s">
        <v>80</v>
      </c>
      <c r="D4" s="180" t="s">
        <v>156</v>
      </c>
      <c r="E4" s="180" t="s">
        <v>157</v>
      </c>
      <c r="F4" s="31" t="s">
        <v>228</v>
      </c>
      <c r="G4" s="207" t="s">
        <v>83</v>
      </c>
      <c r="H4" s="207"/>
      <c r="I4" s="207"/>
      <c r="J4" s="207"/>
      <c r="K4" s="207"/>
      <c r="L4" s="207"/>
    </row>
    <row r="5" spans="1:12" ht="14.45" customHeight="1" x14ac:dyDescent="0.25">
      <c r="A5" s="18" t="s">
        <v>432</v>
      </c>
      <c r="B5" s="6" t="s">
        <v>433</v>
      </c>
      <c r="C5" s="179" t="s">
        <v>161</v>
      </c>
      <c r="D5" s="9">
        <v>240</v>
      </c>
      <c r="E5" s="9">
        <v>0</v>
      </c>
      <c r="F5" s="165">
        <v>170</v>
      </c>
      <c r="G5" s="240" t="s">
        <v>434</v>
      </c>
      <c r="H5" s="240"/>
      <c r="I5" s="240"/>
      <c r="J5" s="240"/>
      <c r="K5" s="240"/>
      <c r="L5" s="240"/>
    </row>
    <row r="6" spans="1:12" ht="23.25" x14ac:dyDescent="0.25">
      <c r="A6" s="18" t="s">
        <v>435</v>
      </c>
      <c r="B6" s="6" t="s">
        <v>436</v>
      </c>
      <c r="C6" s="179" t="s">
        <v>161</v>
      </c>
      <c r="D6" s="9">
        <v>600</v>
      </c>
      <c r="E6" s="9">
        <v>0</v>
      </c>
      <c r="F6" s="165">
        <v>530</v>
      </c>
      <c r="G6" s="240"/>
      <c r="H6" s="240"/>
      <c r="I6" s="240"/>
      <c r="J6" s="240"/>
      <c r="K6" s="240"/>
      <c r="L6" s="240"/>
    </row>
    <row r="7" spans="1:12" x14ac:dyDescent="0.25">
      <c r="A7" s="18" t="s">
        <v>437</v>
      </c>
      <c r="B7" s="6" t="s">
        <v>438</v>
      </c>
      <c r="C7" s="179" t="s">
        <v>161</v>
      </c>
      <c r="D7" s="9">
        <v>85</v>
      </c>
      <c r="E7" s="9">
        <v>85</v>
      </c>
      <c r="F7" s="9">
        <v>85</v>
      </c>
      <c r="G7" s="240"/>
      <c r="H7" s="240"/>
      <c r="I7" s="240"/>
      <c r="J7" s="240"/>
      <c r="K7" s="240"/>
      <c r="L7" s="240"/>
    </row>
    <row r="8" spans="1:12" x14ac:dyDescent="0.25">
      <c r="A8" s="18" t="s">
        <v>439</v>
      </c>
      <c r="B8" s="6" t="s">
        <v>440</v>
      </c>
      <c r="C8" s="179" t="s">
        <v>161</v>
      </c>
      <c r="D8" s="9">
        <v>380</v>
      </c>
      <c r="E8" s="9">
        <v>380</v>
      </c>
      <c r="F8" s="9">
        <v>380</v>
      </c>
      <c r="G8" s="240"/>
      <c r="H8" s="240"/>
      <c r="I8" s="240"/>
      <c r="J8" s="240"/>
      <c r="K8" s="240"/>
      <c r="L8" s="240"/>
    </row>
    <row r="9" spans="1:12" ht="23.25" x14ac:dyDescent="0.25">
      <c r="A9" s="18" t="s">
        <v>441</v>
      </c>
      <c r="B9" s="6" t="s">
        <v>442</v>
      </c>
      <c r="C9" s="179" t="s">
        <v>161</v>
      </c>
      <c r="D9" s="9">
        <v>140</v>
      </c>
      <c r="E9" s="9">
        <v>100</v>
      </c>
      <c r="F9" s="9">
        <v>100</v>
      </c>
      <c r="G9" s="240"/>
      <c r="H9" s="240"/>
      <c r="I9" s="240"/>
      <c r="J9" s="240"/>
      <c r="K9" s="240"/>
      <c r="L9" s="240"/>
    </row>
  </sheetData>
  <mergeCells count="2">
    <mergeCell ref="G5:L9"/>
    <mergeCell ref="G4:L4"/>
  </mergeCells>
  <pageMargins left="0.7" right="0.7" top="0.75" bottom="0.75" header="0.3" footer="0.3"/>
  <headerFooter>
    <oddHeader>&amp;L&amp;"Calibri"&amp;8&amp;K000000 Sensitivity: General&amp;1#_x000D_</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C03BC4-D419-4C73-A7C7-4B88885F55B5}">
  <sheetPr>
    <tabColor theme="0" tint="-0.499984740745262"/>
  </sheetPr>
  <dimension ref="A1:A4"/>
  <sheetViews>
    <sheetView workbookViewId="0">
      <selection activeCell="V32" sqref="V32"/>
    </sheetView>
    <sheetView workbookViewId="1"/>
  </sheetViews>
  <sheetFormatPr defaultRowHeight="15" x14ac:dyDescent="0.25"/>
  <sheetData>
    <row r="1" spans="1:1" x14ac:dyDescent="0.25">
      <c r="A1" s="13" t="s">
        <v>443</v>
      </c>
    </row>
    <row r="2" spans="1:1" x14ac:dyDescent="0.25">
      <c r="A2" s="38" t="s">
        <v>134</v>
      </c>
    </row>
    <row r="3" spans="1:1" x14ac:dyDescent="0.25">
      <c r="A3" s="38" t="s">
        <v>133</v>
      </c>
    </row>
    <row r="4" spans="1:1" x14ac:dyDescent="0.25">
      <c r="A4" t="s">
        <v>278</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DD07A53BDE12C24189BBEAA073CE2D9B" ma:contentTypeVersion="10" ma:contentTypeDescription="Create a new document." ma:contentTypeScope="" ma:versionID="33948a29e25278858c83622c095b5cee">
  <xsd:schema xmlns:xsd="http://www.w3.org/2001/XMLSchema" xmlns:xs="http://www.w3.org/2001/XMLSchema" xmlns:p="http://schemas.microsoft.com/office/2006/metadata/properties" xmlns:ns2="33b268dd-a129-4df5-9b7e-0edc38ae9f1c" xmlns:ns3="57783d8d-39ca-4f41-9e05-2d5d05d583c0" targetNamespace="http://schemas.microsoft.com/office/2006/metadata/properties" ma:root="true" ma:fieldsID="1016c791542c6906989eaf9359e47b75" ns2:_="" ns3:_="">
    <xsd:import namespace="33b268dd-a129-4df5-9b7e-0edc38ae9f1c"/>
    <xsd:import namespace="57783d8d-39ca-4f41-9e05-2d5d05d583c0"/>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element ref="ns2:MediaServiceDateTaken"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3b268dd-a129-4df5-9b7e-0edc38ae9f1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57783d8d-39ca-4f41-9e05-2d5d05d583c0"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D3BEF27-8812-47BD-9899-0909E4785165}">
  <ds:schemaRefs>
    <ds:schemaRef ds:uri="http://schemas.microsoft.com/sharepoint/v3/contenttype/forms"/>
  </ds:schemaRefs>
</ds:datastoreItem>
</file>

<file path=customXml/itemProps2.xml><?xml version="1.0" encoding="utf-8"?>
<ds:datastoreItem xmlns:ds="http://schemas.openxmlformats.org/officeDocument/2006/customXml" ds:itemID="{C9431050-A681-41A3-A1F1-4E3729DFAD4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3b268dd-a129-4df5-9b7e-0edc38ae9f1c"/>
    <ds:schemaRef ds:uri="57783d8d-39ca-4f41-9e05-2d5d05d583c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8759533-3CB1-451F-AF39-3F3208BA472C}">
  <ds:schemaRefs>
    <ds:schemaRef ds:uri="http://schemas.microsoft.com/office/infopath/2007/PartnerControls"/>
    <ds:schemaRef ds:uri="http://www.w3.org/XML/1998/namespace"/>
    <ds:schemaRef ds:uri="http://schemas.microsoft.com/office/2006/documentManagement/types"/>
    <ds:schemaRef ds:uri="57783d8d-39ca-4f41-9e05-2d5d05d583c0"/>
    <ds:schemaRef ds:uri="33b268dd-a129-4df5-9b7e-0edc38ae9f1c"/>
    <ds:schemaRef ds:uri="http://purl.org/dc/elements/1.1/"/>
    <ds:schemaRef ds:uri="http://purl.org/dc/dcmitype/"/>
    <ds:schemaRef ds:uri="http://schemas.openxmlformats.org/package/2006/metadata/core-properties"/>
    <ds:schemaRef ds:uri="http://schemas.microsoft.com/office/2006/metadata/properties"/>
    <ds:schemaRef ds:uri="http://purl.org/dc/terms/"/>
  </ds:schemaRefs>
</ds:datastoreItem>
</file>

<file path=docMetadata/LabelInfo.xml><?xml version="1.0" encoding="utf-8"?>
<clbl:labelList xmlns:clbl="http://schemas.microsoft.com/office/2020/mipLabelMetadata">
  <clbl:label id="{71e8007d-0344-4ee5-bb02-8f24bdb7d471}" enabled="1" method="Standard" siteId="{bb0f7126-b1c5-4f3e-8ca1-2b24f0f74620}" contentBits="1" removed="0"/>
</clbl:labelLis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9</vt:i4>
      </vt:variant>
      <vt:variant>
        <vt:lpstr>Named Ranges</vt:lpstr>
      </vt:variant>
      <vt:variant>
        <vt:i4>3</vt:i4>
      </vt:variant>
    </vt:vector>
  </HeadingPairs>
  <TitlesOfParts>
    <vt:vector size="12" baseType="lpstr">
      <vt:lpstr>Summary of worked examples</vt:lpstr>
      <vt:lpstr>1. small connection</vt:lpstr>
      <vt:lpstr>2. remote mid-sized connection</vt:lpstr>
      <vt:lpstr>3. large connection</vt:lpstr>
      <vt:lpstr>1f. Pioneer scheme</vt:lpstr>
      <vt:lpstr>1g. Local hist cost recovery</vt:lpstr>
      <vt:lpstr>3b. ITC calcs</vt:lpstr>
      <vt:lpstr>Network costing zones</vt:lpstr>
      <vt:lpstr>List</vt:lpstr>
      <vt:lpstr>Sc1_variant</vt:lpstr>
      <vt:lpstr>Sc2_variant</vt:lpstr>
      <vt:lpstr>'3. large connection'!Sc3_variant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Florian Steinebach</dc:creator>
  <cp:keywords/>
  <dc:description/>
  <cp:lastModifiedBy>Jolene Williams</cp:lastModifiedBy>
  <cp:revision/>
  <dcterms:created xsi:type="dcterms:W3CDTF">2025-01-30T21:35:13Z</dcterms:created>
  <dcterms:modified xsi:type="dcterms:W3CDTF">2025-08-15T03:26:02Z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0x010100DD07A53BDE12C24189BBEAA073CE2D9B</vt:lpwstr>
  </property>
  <property fmtid="{D5CDD505-2E9C-101B-9397-08002B2CF9AE}" pid="3" name="MSIP_Label_729a19d4-3005-49f1-9d8c-8924f528f29b_Enabled">
    <vt:lpwstr>true</vt:lpwstr>
  </property>
  <property fmtid="{D5CDD505-2E9C-101B-9397-08002B2CF9AE}" pid="4" name="MSIP_Label_729a19d4-3005-49f1-9d8c-8924f528f29b_SetDate">
    <vt:lpwstr>2025-02-03T20:11:23Z</vt:lpwstr>
  </property>
  <property fmtid="{D5CDD505-2E9C-101B-9397-08002B2CF9AE}" pid="5" name="MSIP_Label_729a19d4-3005-49f1-9d8c-8924f528f29b_Method">
    <vt:lpwstr>Standard</vt:lpwstr>
  </property>
  <property fmtid="{D5CDD505-2E9C-101B-9397-08002B2CF9AE}" pid="6" name="MSIP_Label_729a19d4-3005-49f1-9d8c-8924f528f29b_Name">
    <vt:lpwstr>Organisation</vt:lpwstr>
  </property>
  <property fmtid="{D5CDD505-2E9C-101B-9397-08002B2CF9AE}" pid="7" name="MSIP_Label_729a19d4-3005-49f1-9d8c-8924f528f29b_SiteId">
    <vt:lpwstr>01ce6efc-7935-414f-b831-2b1d356f92e4</vt:lpwstr>
  </property>
  <property fmtid="{D5CDD505-2E9C-101B-9397-08002B2CF9AE}" pid="8" name="MSIP_Label_729a19d4-3005-49f1-9d8c-8924f528f29b_ActionId">
    <vt:lpwstr>3aa94e33-d8c5-4463-8f8e-996f7ad9c810</vt:lpwstr>
  </property>
  <property fmtid="{D5CDD505-2E9C-101B-9397-08002B2CF9AE}" pid="9" name="MSIP_Label_729a19d4-3005-49f1-9d8c-8924f528f29b_ContentBits">
    <vt:lpwstr>2</vt:lpwstr>
  </property>
  <property fmtid="{D5CDD505-2E9C-101B-9397-08002B2CF9AE}" pid="10" name="MSIP_Label_729a19d4-3005-49f1-9d8c-8924f528f29b_Tag">
    <vt:lpwstr>10, 3, 0, 2</vt:lpwstr>
  </property>
  <property fmtid="{D5CDD505-2E9C-101B-9397-08002B2CF9AE}" pid="11" name="MediaServiceImageTags">
    <vt:lpwstr/>
  </property>
  <property fmtid="{D5CDD505-2E9C-101B-9397-08002B2CF9AE}" pid="12" name="Folder_Number">
    <vt:lpwstr/>
  </property>
  <property fmtid="{D5CDD505-2E9C-101B-9397-08002B2CF9AE}" pid="13" name="Folder_Code">
    <vt:lpwstr/>
  </property>
  <property fmtid="{D5CDD505-2E9C-101B-9397-08002B2CF9AE}" pid="14" name="Folder_Name">
    <vt:lpwstr/>
  </property>
  <property fmtid="{D5CDD505-2E9C-101B-9397-08002B2CF9AE}" pid="15" name="Folder_Description">
    <vt:lpwstr/>
  </property>
  <property fmtid="{D5CDD505-2E9C-101B-9397-08002B2CF9AE}" pid="16" name="/Folder_Name/">
    <vt:lpwstr/>
  </property>
  <property fmtid="{D5CDD505-2E9C-101B-9397-08002B2CF9AE}" pid="17" name="/Folder_Description/">
    <vt:lpwstr/>
  </property>
  <property fmtid="{D5CDD505-2E9C-101B-9397-08002B2CF9AE}" pid="18" name="Folder_Version">
    <vt:lpwstr/>
  </property>
  <property fmtid="{D5CDD505-2E9C-101B-9397-08002B2CF9AE}" pid="19" name="Folder_VersionSeq">
    <vt:lpwstr/>
  </property>
  <property fmtid="{D5CDD505-2E9C-101B-9397-08002B2CF9AE}" pid="20" name="Folder_Manager">
    <vt:lpwstr/>
  </property>
  <property fmtid="{D5CDD505-2E9C-101B-9397-08002B2CF9AE}" pid="21" name="Folder_ManagerDesc">
    <vt:lpwstr/>
  </property>
  <property fmtid="{D5CDD505-2E9C-101B-9397-08002B2CF9AE}" pid="22" name="Folder_Storage">
    <vt:lpwstr/>
  </property>
  <property fmtid="{D5CDD505-2E9C-101B-9397-08002B2CF9AE}" pid="23" name="Folder_StorageDesc">
    <vt:lpwstr/>
  </property>
  <property fmtid="{D5CDD505-2E9C-101B-9397-08002B2CF9AE}" pid="24" name="Folder_Creator">
    <vt:lpwstr/>
  </property>
  <property fmtid="{D5CDD505-2E9C-101B-9397-08002B2CF9AE}" pid="25" name="Folder_CreatorDesc">
    <vt:lpwstr/>
  </property>
  <property fmtid="{D5CDD505-2E9C-101B-9397-08002B2CF9AE}" pid="26" name="Folder_CreateDate">
    <vt:lpwstr/>
  </property>
  <property fmtid="{D5CDD505-2E9C-101B-9397-08002B2CF9AE}" pid="27" name="Folder_Updater">
    <vt:lpwstr/>
  </property>
  <property fmtid="{D5CDD505-2E9C-101B-9397-08002B2CF9AE}" pid="28" name="Folder_UpdaterDesc">
    <vt:lpwstr/>
  </property>
  <property fmtid="{D5CDD505-2E9C-101B-9397-08002B2CF9AE}" pid="29" name="Folder_UpdateDate">
    <vt:lpwstr/>
  </property>
  <property fmtid="{D5CDD505-2E9C-101B-9397-08002B2CF9AE}" pid="30" name="Document_Number">
    <vt:lpwstr/>
  </property>
  <property fmtid="{D5CDD505-2E9C-101B-9397-08002B2CF9AE}" pid="31" name="Document_Name">
    <vt:lpwstr/>
  </property>
  <property fmtid="{D5CDD505-2E9C-101B-9397-08002B2CF9AE}" pid="32" name="Document_FileName">
    <vt:lpwstr/>
  </property>
  <property fmtid="{D5CDD505-2E9C-101B-9397-08002B2CF9AE}" pid="33" name="Document_Version">
    <vt:lpwstr/>
  </property>
  <property fmtid="{D5CDD505-2E9C-101B-9397-08002B2CF9AE}" pid="34" name="Document_VersionSeq">
    <vt:lpwstr/>
  </property>
  <property fmtid="{D5CDD505-2E9C-101B-9397-08002B2CF9AE}" pid="35" name="Document_Creator">
    <vt:lpwstr/>
  </property>
  <property fmtid="{D5CDD505-2E9C-101B-9397-08002B2CF9AE}" pid="36" name="Document_CreatorDesc">
    <vt:lpwstr/>
  </property>
  <property fmtid="{D5CDD505-2E9C-101B-9397-08002B2CF9AE}" pid="37" name="Document_CreateDate">
    <vt:lpwstr/>
  </property>
  <property fmtid="{D5CDD505-2E9C-101B-9397-08002B2CF9AE}" pid="38" name="Document_Updater">
    <vt:lpwstr/>
  </property>
  <property fmtid="{D5CDD505-2E9C-101B-9397-08002B2CF9AE}" pid="39" name="Document_UpdaterDesc">
    <vt:lpwstr/>
  </property>
  <property fmtid="{D5CDD505-2E9C-101B-9397-08002B2CF9AE}" pid="40" name="Document_UpdateDate">
    <vt:lpwstr/>
  </property>
  <property fmtid="{D5CDD505-2E9C-101B-9397-08002B2CF9AE}" pid="41" name="Document_Size">
    <vt:lpwstr/>
  </property>
  <property fmtid="{D5CDD505-2E9C-101B-9397-08002B2CF9AE}" pid="42" name="Document_Storage">
    <vt:lpwstr/>
  </property>
  <property fmtid="{D5CDD505-2E9C-101B-9397-08002B2CF9AE}" pid="43" name="Document_StorageDesc">
    <vt:lpwstr/>
  </property>
  <property fmtid="{D5CDD505-2E9C-101B-9397-08002B2CF9AE}" pid="44" name="Document_Department">
    <vt:lpwstr/>
  </property>
  <property fmtid="{D5CDD505-2E9C-101B-9397-08002B2CF9AE}" pid="45" name="Document_DepartmentDesc">
    <vt:lpwstr/>
  </property>
</Properties>
</file>